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UeB7YwIuOB1VulcXbSZa+d09goagA10BtlId/kHYyV+d5CRGvZHjp9f0Rah9b7XTppz6imlCQT4SLPECgBXxhA==" workbookSaltValue="/6k9kewEAqBQ3zwun1Itf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V9" i="11"/>
  <c r="AP17" i="20"/>
  <c r="BU9" i="17"/>
  <c r="T13" i="16"/>
  <c r="BF12" i="11"/>
  <c r="BH12" i="16"/>
  <c r="BD9" i="8"/>
  <c r="AH13" i="16"/>
  <c r="AL20" i="20"/>
  <c r="E20" i="20"/>
  <c r="AC20" i="20"/>
  <c r="H17" i="2" l="1"/>
  <c r="BF17" i="11"/>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<sst xmlns="http://schemas.openxmlformats.org/spreadsheetml/2006/main" count="2094" uniqueCount="913">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</sst>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fDoP08ZpykZBS06Z8W+F4Y0QdfVtdTS69Ek6wZtz7hTdIcUU/yuGQlPAmE0XA16L7GsM2Fi+ZtF1sCkhBgGQ==" saltValue="VC+2HCuJbCZsivbReRC+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2</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20.830564784053156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288</v>
      </c>
      <c r="D16" s="229">
        <f>IF(ISNUMBER(IF(D_I="SI",Datos!I16,Datos!I16+Datos!AC16)),IF(D_I="SI",Datos!I16,Datos!I16+Datos!AC16)," - ")</f>
        <v>275</v>
      </c>
      <c r="E16" s="230">
        <f>IF(ISNUMBER(IF(D_I="SI",Datos!J16,Datos!J16+Datos!AD16)),IF(D_I="SI",Datos!J16,Datos!J16+Datos!AD16)," - ")</f>
        <v>278</v>
      </c>
      <c r="F16" s="230">
        <f>IF(ISNUMBER(IF(D_I="SI",Datos!K16,Datos!K16+Datos!AE16)),IF(D_I="SI",Datos!K16,Datos!K16+Datos!AE16)," - ")</f>
        <v>267</v>
      </c>
      <c r="G16" s="1189" t="str">
        <f>IF(Datos!E16&lt;&gt;"",Datos!E16,Datos!D16)</f>
        <v>04</v>
      </c>
      <c r="H16" s="231">
        <f>IF(ISNUMBER(IF(D_I="SI",Datos!L16,Datos!L16+Datos!AF16)),IF(D_I="SI",Datos!L16,Datos!L16+Datos!AF16)," - ")</f>
        <v>299</v>
      </c>
      <c r="I16" s="1199" t="str">
        <f>IF(ISNUMBER(Datos!AS16/Datos!BM16),Datos!AS16/Datos!BM16," - ")</f>
        <v xml:space="preserve"> - </v>
      </c>
      <c r="J16" s="1200">
        <f>IF(ISNUMBER(Datos!BY16/Datos!CN16),Datos!BY16/Datos!CN16," - ")</f>
        <v>0</v>
      </c>
      <c r="K16" s="234">
        <f t="shared" si="3"/>
        <v>3.8194444444444448E-2</v>
      </c>
      <c r="L16" s="1201">
        <f>IF(ISNUMBER(NºAsuntos!I16/NºAsuntos!G16),(NºAsuntos!I16/NºAsuntos!G16)*11," - ")</f>
        <v>12.318352059925095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19</v>
      </c>
      <c r="F17" s="230">
        <f>IF(ISNUMBER(IF(D_I="SI",Datos!K17,Datos!K17+Datos!AE17)),IF(D_I="SI",Datos!K17,Datos!K17+Datos!AE17)," - ")</f>
        <v>17</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0.10526315789473684</v>
      </c>
      <c r="L17" s="1201">
        <f>IF(ISNUMBER(NºAsuntos!I17/NºAsuntos!G17),(NºAsuntos!I17/NºAsuntos!G17)*11," - ")</f>
        <v>13.588235294117649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307</v>
      </c>
      <c r="D18" s="1206">
        <f>SUBTOTAL(9,D15:D17)</f>
        <v>294</v>
      </c>
      <c r="E18" s="1207">
        <f>SUBTOTAL(9,E15:E17)</f>
        <v>297</v>
      </c>
      <c r="F18" s="1207">
        <f>SUBTOTAL(9,F15:F17)</f>
        <v>284</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310</v>
      </c>
      <c r="D19" s="1228">
        <f>SUBTOTAL(9,D9:D18)</f>
        <v>297</v>
      </c>
      <c r="E19" s="1229">
        <f>SUBTOTAL(9,E9:E18)</f>
        <v>298</v>
      </c>
      <c r="F19" s="1229">
        <f>SUBTOTAL(9,F9:F18)</f>
        <v>286</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OvyJT2fHH+c5Sfvt1JNKDp6wk/afp6PCwzUOfgfevAcXQiaLNIB2w3qmf/CXYtdEVGCQbuKWCdhUvCOFKBUFA==" saltValue="uDFdyArvb0BUFUgNjoexS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MIVR7KCL5bem8vgBIDh3ruTiSQ+AjpE8qu3YkaSO0CXNK4aIm6vQa0oqi67lUTFOcZMnxvK6NjQXWH11H60UA==" saltValue="vlqrYRRW6Luc7TSKklYL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2</v>
      </c>
      <c r="L10" s="185">
        <v>2</v>
      </c>
      <c r="M10" s="185">
        <v>2</v>
      </c>
      <c r="N10" s="185">
        <v>0</v>
      </c>
      <c r="O10" s="185">
        <v>0</v>
      </c>
      <c r="P10" s="185">
        <v>0</v>
      </c>
      <c r="Q10" s="185">
        <v>0</v>
      </c>
      <c r="R10" s="185">
        <v>2</v>
      </c>
      <c r="S10" s="185">
        <v>5</v>
      </c>
      <c r="T10" s="185">
        <v>3</v>
      </c>
      <c r="U10" s="185">
        <v>5</v>
      </c>
      <c r="V10" s="185">
        <v>3</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3</v>
      </c>
      <c r="BA10" s="130">
        <f t="shared" si="0"/>
        <v>5</v>
      </c>
      <c r="BB10" s="130">
        <f t="shared" si="0"/>
        <v>3</v>
      </c>
      <c r="BC10" s="126">
        <f t="shared" si="0"/>
        <v>3</v>
      </c>
      <c r="BD10" s="127">
        <f>IF(ISNUMBER(BA10/AZ10),BA10/AZ10," - ")</f>
        <v>1.6666666666666667</v>
      </c>
      <c r="BE10" s="128">
        <f>IF(ISNUMBER(BB10/BA10),BB10/BA10, " - ")</f>
        <v>0.6</v>
      </c>
      <c r="BF10" s="128">
        <f>IF(ISNUMBER(BC10/BA10),BC10/BA10, " - ")</f>
        <v>0.6</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519</v>
      </c>
      <c r="J12" s="187">
        <v>323</v>
      </c>
      <c r="K12" s="187">
        <v>278</v>
      </c>
      <c r="L12" s="187">
        <v>550</v>
      </c>
      <c r="M12" s="187">
        <v>87</v>
      </c>
      <c r="N12" s="187">
        <v>121</v>
      </c>
      <c r="O12" s="185">
        <v>133</v>
      </c>
      <c r="P12" s="187">
        <v>58</v>
      </c>
      <c r="Q12" s="187">
        <v>76</v>
      </c>
      <c r="R12" s="187">
        <v>1332</v>
      </c>
      <c r="S12" s="187">
        <v>453</v>
      </c>
      <c r="T12" s="187">
        <v>252</v>
      </c>
      <c r="U12" s="187">
        <v>283</v>
      </c>
      <c r="V12" s="187">
        <v>422</v>
      </c>
      <c r="W12" s="187">
        <v>96</v>
      </c>
      <c r="X12" s="193">
        <v>118</v>
      </c>
      <c r="Y12" s="195">
        <v>24</v>
      </c>
      <c r="Z12" s="185">
        <v>17</v>
      </c>
      <c r="AA12" s="185">
        <v>23</v>
      </c>
      <c r="AB12" s="185">
        <v>20</v>
      </c>
      <c r="AC12" s="187">
        <v>0</v>
      </c>
      <c r="AD12" s="187">
        <v>0</v>
      </c>
      <c r="AE12" s="187">
        <v>0</v>
      </c>
      <c r="AF12" s="193">
        <v>0</v>
      </c>
      <c r="AG12" s="206">
        <v>13</v>
      </c>
      <c r="AH12" s="187">
        <v>21</v>
      </c>
      <c r="AI12" s="187">
        <v>22</v>
      </c>
      <c r="AJ12" s="207">
        <v>12</v>
      </c>
      <c r="AK12" s="186">
        <v>0</v>
      </c>
      <c r="AL12" s="187">
        <v>0</v>
      </c>
      <c r="AM12" s="187">
        <v>0</v>
      </c>
      <c r="AN12" s="193">
        <v>0</v>
      </c>
      <c r="AO12" s="263">
        <v>2</v>
      </c>
      <c r="AP12" s="159">
        <v>2</v>
      </c>
      <c r="AQ12" s="159">
        <v>2</v>
      </c>
      <c r="AR12" s="158">
        <v>2</v>
      </c>
      <c r="AS12" s="349" t="s">
        <v>811</v>
      </c>
      <c r="AT12" s="207"/>
      <c r="AU12" s="206"/>
      <c r="AV12" s="207"/>
      <c r="AW12" s="206"/>
      <c r="AX12" s="207"/>
      <c r="AY12" s="127">
        <f t="shared" si="1"/>
        <v>466</v>
      </c>
      <c r="AZ12" s="128">
        <f t="shared" si="1"/>
        <v>273</v>
      </c>
      <c r="BA12" s="128">
        <f t="shared" si="1"/>
        <v>305</v>
      </c>
      <c r="BB12" s="128">
        <f t="shared" si="1"/>
        <v>434</v>
      </c>
      <c r="BC12" s="126">
        <f>IF(ISNUMBER(X12),X12," - ")</f>
        <v>118</v>
      </c>
      <c r="BD12" s="127">
        <f t="shared" si="2"/>
        <v>1.1172161172161172</v>
      </c>
      <c r="BE12" s="128">
        <f t="shared" si="3"/>
        <v>1.4229508196721312</v>
      </c>
      <c r="BF12" s="128">
        <f t="shared" si="4"/>
        <v>0.38688524590163936</v>
      </c>
      <c r="BG12" s="200">
        <f t="shared" si="5"/>
        <v>2.4229508196721312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522</v>
      </c>
      <c r="J13" s="188">
        <f t="shared" si="6"/>
        <v>324</v>
      </c>
      <c r="K13" s="188">
        <f t="shared" si="6"/>
        <v>280</v>
      </c>
      <c r="L13" s="188">
        <f t="shared" si="6"/>
        <v>552</v>
      </c>
      <c r="M13" s="188">
        <f t="shared" si="6"/>
        <v>89</v>
      </c>
      <c r="N13" s="188">
        <f t="shared" si="6"/>
        <v>121</v>
      </c>
      <c r="O13" s="188">
        <f t="shared" si="6"/>
        <v>133</v>
      </c>
      <c r="P13" s="188">
        <f t="shared" si="6"/>
        <v>58</v>
      </c>
      <c r="Q13" s="188">
        <f t="shared" si="6"/>
        <v>76</v>
      </c>
      <c r="R13" s="188">
        <f t="shared" si="6"/>
        <v>1334</v>
      </c>
      <c r="S13" s="188">
        <f t="shared" si="6"/>
        <v>458</v>
      </c>
      <c r="T13" s="188">
        <f t="shared" si="6"/>
        <v>255</v>
      </c>
      <c r="U13" s="188">
        <f t="shared" si="6"/>
        <v>288</v>
      </c>
      <c r="V13" s="188">
        <f t="shared" si="6"/>
        <v>425</v>
      </c>
      <c r="W13" s="188">
        <f t="shared" si="6"/>
        <v>99</v>
      </c>
      <c r="X13" s="188">
        <f t="shared" si="6"/>
        <v>119</v>
      </c>
      <c r="Y13" s="188">
        <f t="shared" si="6"/>
        <v>24</v>
      </c>
      <c r="Z13" s="188">
        <f t="shared" si="6"/>
        <v>17</v>
      </c>
      <c r="AA13" s="188">
        <f t="shared" si="6"/>
        <v>23</v>
      </c>
      <c r="AB13" s="188">
        <f t="shared" si="6"/>
        <v>20</v>
      </c>
      <c r="AC13" s="188">
        <f t="shared" si="6"/>
        <v>0</v>
      </c>
      <c r="AD13" s="188">
        <f t="shared" si="6"/>
        <v>0</v>
      </c>
      <c r="AE13" s="188">
        <f t="shared" si="6"/>
        <v>0</v>
      </c>
      <c r="AF13" s="188">
        <f>SUBTOTAL(9,AF9:AF12)</f>
        <v>0</v>
      </c>
      <c r="AG13" s="188">
        <f t="shared" ref="AG13:AT13" si="7">SUBTOTAL(9,AG8:AG12)</f>
        <v>13</v>
      </c>
      <c r="AH13" s="188">
        <f t="shared" si="7"/>
        <v>21</v>
      </c>
      <c r="AI13" s="188">
        <f t="shared" si="7"/>
        <v>22</v>
      </c>
      <c r="AJ13" s="188">
        <f t="shared" si="7"/>
        <v>12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471</v>
      </c>
      <c r="AZ13" s="188">
        <f>SUBTOTAL(9,AZ8:AZ12)</f>
        <v>276</v>
      </c>
      <c r="BA13" s="188">
        <f>SUBTOTAL(9,BA8:BA12)</f>
        <v>310</v>
      </c>
      <c r="BB13" s="188">
        <f>SUBTOTAL(9,BB8:BB12)</f>
        <v>437</v>
      </c>
      <c r="BC13" s="188">
        <f>SUBTOTAL(9,BC8:BC12)</f>
        <v>121</v>
      </c>
      <c r="BD13" s="209">
        <f>IF(ISNUMBER(BA13/AZ13),BA13/AZ13," - ")</f>
        <v>1.1231884057971016</v>
      </c>
      <c r="BE13" s="210">
        <f>IF(ISNUMBER(BB13/BA13),BB13/BA13, " - ")</f>
        <v>1.4096774193548387</v>
      </c>
      <c r="BF13" s="210">
        <f>IF(ISNUMBER(BC13/BA13),BC13/BA13, " - ")</f>
        <v>0.39032258064516129</v>
      </c>
      <c r="BG13" s="211">
        <f>IF(ISNUMBER((AY13+AZ13)/BA13),(AY13+AZ13)/BA13," - ")</f>
        <v>2.4096774193548387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275</v>
      </c>
      <c r="J16" s="187">
        <v>278</v>
      </c>
      <c r="K16" s="187">
        <v>267</v>
      </c>
      <c r="L16" s="187">
        <v>299</v>
      </c>
      <c r="M16" s="187">
        <v>30</v>
      </c>
      <c r="N16" s="187">
        <v>160</v>
      </c>
      <c r="O16" s="185">
        <v>7</v>
      </c>
      <c r="P16" s="187">
        <v>13</v>
      </c>
      <c r="Q16" s="187">
        <v>20</v>
      </c>
      <c r="R16" s="187">
        <v>45</v>
      </c>
      <c r="S16" s="187">
        <v>305</v>
      </c>
      <c r="T16" s="187">
        <v>266</v>
      </c>
      <c r="U16" s="187">
        <v>293</v>
      </c>
      <c r="V16" s="187">
        <v>284</v>
      </c>
      <c r="W16" s="187">
        <v>51</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305</v>
      </c>
      <c r="AZ16" s="128">
        <f t="shared" si="9"/>
        <v>266</v>
      </c>
      <c r="BA16" s="128">
        <f t="shared" si="9"/>
        <v>293</v>
      </c>
      <c r="BB16" s="128">
        <f t="shared" si="9"/>
        <v>284</v>
      </c>
      <c r="BC16" s="126">
        <f>IF(ISNUMBER(W16),W16," - ")</f>
        <v>51</v>
      </c>
      <c r="BD16" s="127">
        <f t="shared" ref="BD16" si="11">IF(ISNUMBER(BA16/AZ16),BA16/AZ16," - ")</f>
        <v>1.1015037593984962</v>
      </c>
      <c r="BE16" s="128">
        <f t="shared" ref="BE16" si="12">IF(ISNUMBER(BB16/BA16),BB16/BA16, " - ")</f>
        <v>0.96928327645051193</v>
      </c>
      <c r="BF16" s="128">
        <f t="shared" ref="BF16" si="13">IF(ISNUMBER(BC16/BA16),BC16/BA16, " - ")</f>
        <v>0.17406143344709898</v>
      </c>
      <c r="BG16" s="200">
        <f t="shared" si="10"/>
        <v>1.9488054607508531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19</v>
      </c>
      <c r="K17" s="187">
        <v>17</v>
      </c>
      <c r="L17" s="187">
        <v>21</v>
      </c>
      <c r="M17" s="187">
        <v>1</v>
      </c>
      <c r="N17" s="187">
        <v>14</v>
      </c>
      <c r="O17" s="187">
        <v>0</v>
      </c>
      <c r="P17" s="187">
        <v>0</v>
      </c>
      <c r="Q17" s="187">
        <v>0</v>
      </c>
      <c r="R17" s="187">
        <v>1</v>
      </c>
      <c r="S17" s="187">
        <v>36</v>
      </c>
      <c r="T17" s="187">
        <v>31</v>
      </c>
      <c r="U17" s="187">
        <v>40</v>
      </c>
      <c r="V17" s="187">
        <v>27</v>
      </c>
      <c r="W17" s="187">
        <v>4</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36</v>
      </c>
      <c r="AZ17" s="130">
        <f t="shared" si="14"/>
        <v>31</v>
      </c>
      <c r="BA17" s="130">
        <f t="shared" si="14"/>
        <v>40</v>
      </c>
      <c r="BB17" s="130">
        <f t="shared" si="14"/>
        <v>27</v>
      </c>
      <c r="BC17" s="126">
        <f>IF(ISNUMBER(W17),W17," - ")</f>
        <v>4</v>
      </c>
      <c r="BD17" s="127">
        <f>IF(ISNUMBER(BA17/AZ17),BA17/AZ17," - ")</f>
        <v>1.2903225806451613</v>
      </c>
      <c r="BE17" s="128">
        <f>IF(ISNUMBER(BB17/BA17),BB17/BA17, " - ")</f>
        <v>0.67500000000000004</v>
      </c>
      <c r="BF17" s="128">
        <f>IF(ISNUMBER(BC17/BA17),BC17/BA17, " - ")</f>
        <v>0.1</v>
      </c>
      <c r="BG17" s="200">
        <f>IF(ISNUMBER((AY17+AZ17)/BA17),(AY17+AZ17)/BA17," - ")</f>
        <v>1.675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294</v>
      </c>
      <c r="J18" s="188">
        <f t="shared" si="15"/>
        <v>297</v>
      </c>
      <c r="K18" s="188">
        <f t="shared" si="15"/>
        <v>284</v>
      </c>
      <c r="L18" s="188">
        <f t="shared" si="15"/>
        <v>320</v>
      </c>
      <c r="M18" s="188">
        <f t="shared" si="15"/>
        <v>31</v>
      </c>
      <c r="N18" s="188">
        <f t="shared" si="15"/>
        <v>174</v>
      </c>
      <c r="O18" s="188">
        <f t="shared" si="15"/>
        <v>7</v>
      </c>
      <c r="P18" s="188">
        <f t="shared" si="15"/>
        <v>13</v>
      </c>
      <c r="Q18" s="188">
        <f t="shared" si="15"/>
        <v>20</v>
      </c>
      <c r="R18" s="188">
        <f t="shared" si="15"/>
        <v>46</v>
      </c>
      <c r="S18" s="188">
        <f t="shared" si="15"/>
        <v>341</v>
      </c>
      <c r="T18" s="188">
        <f t="shared" si="15"/>
        <v>297</v>
      </c>
      <c r="U18" s="188">
        <f t="shared" si="15"/>
        <v>333</v>
      </c>
      <c r="V18" s="188">
        <f t="shared" si="15"/>
        <v>311</v>
      </c>
      <c r="W18" s="188">
        <f t="shared" si="15"/>
        <v>55</v>
      </c>
      <c r="X18" s="188">
        <f t="shared" si="15"/>
        <v>162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341</v>
      </c>
      <c r="AZ18" s="188">
        <f>SUBTOTAL(9,AZ14:AZ17)</f>
        <v>297</v>
      </c>
      <c r="BA18" s="188">
        <f>SUBTOTAL(9,BA14:BA17)</f>
        <v>333</v>
      </c>
      <c r="BB18" s="188">
        <f>SUBTOTAL(9,BB14:BB17)</f>
        <v>311</v>
      </c>
      <c r="BC18" s="188">
        <f>SUBTOTAL(9,BC14:BC17)</f>
        <v>55</v>
      </c>
      <c r="BD18" s="209">
        <f>IF(ISNUMBER(BA18/AZ18),BA18/AZ18," - ")</f>
        <v>1.1212121212121211</v>
      </c>
      <c r="BE18" s="210">
        <f>IF(ISNUMBER(BB18/BA18),BB18/BA18, " - ")</f>
        <v>0.93393393393393398</v>
      </c>
      <c r="BF18" s="210">
        <f>IF(ISNUMBER(BC18/BA18),BC18/BA18, " - ")</f>
        <v>0.16516516516516516</v>
      </c>
      <c r="BG18" s="211">
        <f>IF(ISNUMBER((AY18+AZ18)/BA18),(AY18+AZ18)/BA18," - ")</f>
        <v>1.9159159159159158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816</v>
      </c>
      <c r="J19" s="135">
        <f t="shared" si="18"/>
        <v>621</v>
      </c>
      <c r="K19" s="135">
        <f t="shared" si="18"/>
        <v>564</v>
      </c>
      <c r="L19" s="135">
        <f t="shared" si="18"/>
        <v>872</v>
      </c>
      <c r="M19" s="135">
        <f t="shared" si="18"/>
        <v>120</v>
      </c>
      <c r="N19" s="135">
        <f t="shared" si="18"/>
        <v>295</v>
      </c>
      <c r="O19" s="135">
        <f t="shared" si="18"/>
        <v>140</v>
      </c>
      <c r="P19" s="135">
        <f t="shared" si="18"/>
        <v>71</v>
      </c>
      <c r="Q19" s="135">
        <f t="shared" si="18"/>
        <v>96</v>
      </c>
      <c r="R19" s="135">
        <f t="shared" si="18"/>
        <v>1380</v>
      </c>
      <c r="S19" s="135">
        <f t="shared" si="18"/>
        <v>799</v>
      </c>
      <c r="T19" s="135">
        <f t="shared" si="18"/>
        <v>552</v>
      </c>
      <c r="U19" s="135">
        <f t="shared" si="18"/>
        <v>621</v>
      </c>
      <c r="V19" s="135">
        <f t="shared" si="18"/>
        <v>736</v>
      </c>
      <c r="W19" s="135">
        <f t="shared" si="18"/>
        <v>154</v>
      </c>
      <c r="X19" s="135">
        <f t="shared" si="18"/>
        <v>281</v>
      </c>
      <c r="Y19" s="135">
        <f t="shared" si="18"/>
        <v>24</v>
      </c>
      <c r="Z19" s="135">
        <f t="shared" si="18"/>
        <v>17</v>
      </c>
      <c r="AA19" s="135">
        <f t="shared" si="18"/>
        <v>23</v>
      </c>
      <c r="AB19" s="135">
        <f t="shared" si="18"/>
        <v>20</v>
      </c>
      <c r="AC19" s="135">
        <f t="shared" si="18"/>
        <v>0</v>
      </c>
      <c r="AD19" s="135">
        <f t="shared" si="18"/>
        <v>0</v>
      </c>
      <c r="AE19" s="135">
        <f t="shared" si="18"/>
        <v>0</v>
      </c>
      <c r="AF19" s="135">
        <f t="shared" si="18"/>
        <v>0</v>
      </c>
      <c r="AG19" s="135">
        <f t="shared" si="18"/>
        <v>13</v>
      </c>
      <c r="AH19" s="135">
        <f t="shared" si="18"/>
        <v>21</v>
      </c>
      <c r="AI19" s="135">
        <f t="shared" si="18"/>
        <v>22</v>
      </c>
      <c r="AJ19" s="135">
        <f t="shared" si="18"/>
        <v>12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812</v>
      </c>
      <c r="AZ19" s="135">
        <f>SUBTOTAL(9,AZ9:AZ18)</f>
        <v>573</v>
      </c>
      <c r="BA19" s="135">
        <f>SUBTOTAL(9,BA9:BA18)</f>
        <v>643</v>
      </c>
      <c r="BB19" s="135">
        <f>SUBTOTAL(9,BB9:BB18)</f>
        <v>748</v>
      </c>
      <c r="BC19" s="136">
        <f>SUBTOTAL(9,BC9:BC18)</f>
        <v>176</v>
      </c>
      <c r="BD19" s="217">
        <f>IF(ISNUMBER(BA19/AZ19),BA19/AZ19," - ")</f>
        <v>1.1221640488656195</v>
      </c>
      <c r="BE19" s="214">
        <f>IF(ISNUMBER(BB19/BA19),BB19/BA19, " - ")</f>
        <v>1.1632970451010887</v>
      </c>
      <c r="BF19" s="214">
        <f>IF(ISNUMBER(BC19/BA19),BC19/BA19, " - ")</f>
        <v>0.27371695178849142</v>
      </c>
      <c r="BG19" s="136">
        <f>IF(ISNUMBER((AY19+AZ19)/BA19),(AY19+AZ19)/BA19," - ")</f>
        <v>2.1539657853810263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EJCD+xBQoiMUA2IvEKzu5VNBXxkzkAk5iSaK7ryCP4pQcxcolbgQKZyofTLJkcEEJ43RedSzIuIjiO6lEqH5g==" saltValue="c1zHmGR25HIJsyG3S0ym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q4+X5apTjGEyibH/rJ5t7mJIBHPEe15AaWuf+O1mHXCWhL2jjwCxflcwOZZJZi78WxEDUHjGGU9tznHEeE1jg==" saltValue="ErQvuaShnH1uCPalMhc2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ASTORGA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58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v>
      </c>
      <c r="AI12" s="503" t="str">
        <f>IF(ISNUMBER(Datos!CD12),Datos!CD12,"-")</f>
        <v>-</v>
      </c>
      <c r="AJ12" s="503" t="str">
        <f>IF(ISNUMBER(Datos!EN12),Datos!EN12," - ")</f>
        <v xml:space="preserve"> - </v>
      </c>
      <c r="AK12" s="503"/>
      <c r="AL12" s="504"/>
      <c r="AM12" s="671">
        <f>IF(ISNUMBER(Datos!R12),Datos!R12," - ")</f>
        <v>1332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87</v>
      </c>
      <c r="BD12" s="619">
        <f>IF(ISNUMBER(Datos!N12),Datos!N12," - ")</f>
        <v>121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0.88529411764705879</v>
      </c>
      <c r="BH12" s="669">
        <f>IF(ISNUMBER(((IF(J_V="SI",Datos!L12/Datos!K12,(Datos!L12+Datos!AB12)/(Datos!K12+Datos!AA12)))*11)/factor_trimestre),((IF(J_V="SI",Datos!L12/Datos!K12,(Datos!L12+Datos!AB12)/(Datos!K12+Datos!AA12)))*11)/factor_trimestre," - ")</f>
        <v>5.6810631229235877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-1.3333333333333334E-2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58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76</v>
      </c>
      <c r="AD13" s="1045">
        <f t="shared" si="1"/>
        <v>0</v>
      </c>
      <c r="AE13" s="1045">
        <f t="shared" si="1"/>
        <v>0</v>
      </c>
      <c r="AF13" s="1045">
        <f t="shared" si="1"/>
        <v>2</v>
      </c>
      <c r="AG13" s="1045">
        <f t="shared" si="1"/>
        <v>0</v>
      </c>
      <c r="AH13" s="1045">
        <f t="shared" si="1"/>
        <v>20</v>
      </c>
      <c r="AI13" s="1045">
        <f t="shared" si="1"/>
        <v>0</v>
      </c>
      <c r="AJ13" s="1045">
        <f t="shared" si="1"/>
        <v>0</v>
      </c>
      <c r="AK13" s="1045">
        <f t="shared" si="1"/>
        <v>0</v>
      </c>
      <c r="AL13" s="1045">
        <f t="shared" si="1"/>
        <v>0</v>
      </c>
      <c r="AM13" s="1045">
        <f t="shared" si="1"/>
        <v>1334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89</v>
      </c>
      <c r="BD13" s="1045">
        <f t="shared" si="1"/>
        <v>121</v>
      </c>
      <c r="BE13" s="1045">
        <f t="shared" si="1"/>
        <v>0</v>
      </c>
      <c r="BF13" s="1045">
        <f t="shared" si="1"/>
        <v>0</v>
      </c>
      <c r="BG13" s="1045">
        <f>IF(ISNUMBER(Datos!K13/Datos!J13),Datos!K13/Datos!J13," - ")</f>
        <v>0.86419753086419748</v>
      </c>
      <c r="BH13" s="1049">
        <f>IF(ISNUMBER(((Datos!L13/Datos!K13)*11)/factor_trimestre),((Datos!L13/Datos!K13)*11)/factor_trimestre," - ")</f>
        <v>5.9142857142857146</v>
      </c>
      <c r="BI13" s="1045">
        <f>IF(ISNUMBER('Resol  Asuntos'!D13/NºAsuntos!G13),'Resol  Asuntos'!D13/NºAsuntos!G13," - ")</f>
        <v>0.29372937293729373</v>
      </c>
      <c r="BJ13" s="1045" t="str">
        <f>IF(ISNUMBER(Datos!CI13/Datos!CJ13),Datos!CI13/Datos!CJ13," - ")</f>
        <v xml:space="preserve"> - </v>
      </c>
      <c r="BK13" s="1045">
        <f>SUBTOTAL(9,BK8:BK12)</f>
        <v>0</v>
      </c>
      <c r="BL13" s="1045">
        <f>IF(ISNUMBER((I13-AB13+L13)/(F13)),(I13-AB13+L13)/(F13)," - ")</f>
        <v>-0.66666666666666663</v>
      </c>
      <c r="BM13" s="1050">
        <f>SUBTOTAL(9,BM9:BM12)</f>
        <v>-1.3333333333333334E-2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288</v>
      </c>
      <c r="G16" s="650">
        <f>IF(ISNUMBER(IF(D_I="SI",Datos!I16,Datos!I16+Datos!AC16)),IF(D_I="SI",Datos!I16,Datos!I16+Datos!AC16)," - ")</f>
        <v>275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267</v>
      </c>
      <c r="AC16" s="230">
        <f>IF(ISNUMBER(Datos!Q16),Datos!Q16," - ")</f>
        <v>20</v>
      </c>
      <c r="AD16" s="343"/>
      <c r="AE16" s="515"/>
      <c r="AF16" s="648">
        <f>IF(ISNUMBER(IF(D_I="SI",Datos!L16,Datos!L16+Datos!AF16)),IF(D_I="SI",Datos!L16,Datos!L16+Datos!AF16)," - ")</f>
        <v>299</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160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0.96043165467625902</v>
      </c>
      <c r="BH16" s="669">
        <f>IF(ISNUMBER(((IF(D_I="SI",Datos!L16/Datos!K16,(Datos!L16+Datos!AF16)/(Datos!K16+Datos!AE16)))*11)/factor_trimestre),((IF(D_I="SI",Datos!L16/Datos!K16,(Datos!L16+Datos!AF16)/(Datos!K16+Datos!AE16)))*11)/factor_trimestre," - ")</f>
        <v>3.3595505617977532</v>
      </c>
      <c r="BI16" s="247">
        <f>IF(ISNUMBER('Resol  Asuntos'!D16/NºAsuntos!G16),'Resol  Asuntos'!D16/NºAsuntos!G16," - ")</f>
        <v>0.11235955056179775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v>
      </c>
      <c r="AC17" s="501">
        <f>IF(ISNUMBER(Datos!Q17),Datos!Q17," - ")</f>
        <v>0</v>
      </c>
      <c r="AD17" s="503"/>
      <c r="AE17" s="515"/>
      <c r="AF17" s="505">
        <f>IF(ISNUMBER(Datos!L17),Datos!L17,"-")</f>
        <v>21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0.89473684210526316</v>
      </c>
      <c r="BH17" s="669">
        <f>IF(ISNUMBER(((IF(D_I="SI",Datos!L17/Datos!K17,(Datos!L17+Datos!AF17)/(Datos!K17+Datos!AE17)))*11)/factor_trimestre),((IF(D_I="SI",Datos!L17/Datos!K17,(Datos!L17+Datos!AF17)/(Datos!K17+Datos!AE17)))*11)/factor_trimestre," - ")</f>
        <v>3.7058823529411771</v>
      </c>
      <c r="BI17" s="668">
        <f>IF(ISNUMBER('Resol  Asuntos'!D17/NºAsuntos!G17),'Resol  Asuntos'!D17/NºAsuntos!G17," - ")</f>
        <v>5.8823529411764705E-2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288</v>
      </c>
      <c r="G18" s="1044">
        <f>SUBTOTAL(9,G15:G17)</f>
        <v>294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284</v>
      </c>
      <c r="AC18" s="1045">
        <f t="shared" si="4"/>
        <v>20</v>
      </c>
      <c r="AD18" s="1045">
        <f t="shared" si="4"/>
        <v>0</v>
      </c>
      <c r="AE18" s="1045">
        <f t="shared" si="4"/>
        <v>0</v>
      </c>
      <c r="AF18" s="1045">
        <f t="shared" si="4"/>
        <v>320</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174</v>
      </c>
      <c r="BE18" s="1045">
        <f t="shared" si="4"/>
        <v>0</v>
      </c>
      <c r="BF18" s="1045">
        <f t="shared" si="4"/>
        <v>0</v>
      </c>
      <c r="BG18" s="1045">
        <f>IF(ISNUMBER(Datos!K18/Datos!J18),Datos!K18/Datos!J18," - ")</f>
        <v>0.95622895622895621</v>
      </c>
      <c r="BH18" s="1049">
        <f>IF(ISNUMBER(((Datos!L18/Datos!K18)*11)/factor_trimestre),((Datos!L18/Datos!K18)*11)/factor_trimestre," - ")</f>
        <v>3.3802816901408455</v>
      </c>
      <c r="BI18" s="1045">
        <f>SUBTOTAL(9,BI15:BI17)</f>
        <v>0.17118307997356247</v>
      </c>
      <c r="BJ18" s="1045">
        <f>SUBTOTAL(9,BJ15:BJ17)</f>
        <v>0</v>
      </c>
      <c r="BK18" s="1045">
        <f>SUBTOTAL(9,BK15:BK17)</f>
        <v>0</v>
      </c>
      <c r="BL18" s="1045">
        <f>IF(ISNUMBER((I18-AB18+L18)/(F18)),(I18-AB18+L18)/(F18)," - ")</f>
        <v>-0.98611111111111116</v>
      </c>
      <c r="BM18" s="1051">
        <f>IF(ISNUMBER((Datos!P18-Datos!Q18)/(Datos!R18-Datos!P18+Datos!Q18)),(Datos!P18-Datos!Q18)/(Datos!R18-Datos!P18+Datos!Q18)," - ")</f>
        <v>-0.13207547169811321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291</v>
      </c>
      <c r="G19" s="966">
        <f t="shared" si="6"/>
        <v>297</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286</v>
      </c>
      <c r="AC19" s="967">
        <f t="shared" si="7"/>
        <v>96</v>
      </c>
      <c r="AD19" s="967">
        <f t="shared" si="7"/>
        <v>0</v>
      </c>
      <c r="AE19" s="967">
        <f t="shared" si="7"/>
        <v>0</v>
      </c>
      <c r="AF19" s="974">
        <f t="shared" si="7"/>
        <v>322</v>
      </c>
      <c r="AG19" s="974">
        <f t="shared" si="7"/>
        <v>0</v>
      </c>
      <c r="AH19" s="974">
        <f t="shared" si="7"/>
        <v>20</v>
      </c>
      <c r="AI19" s="974">
        <f t="shared" si="7"/>
        <v>0</v>
      </c>
      <c r="AJ19" s="967">
        <f t="shared" si="7"/>
        <v>0</v>
      </c>
      <c r="AK19" s="974">
        <f t="shared" si="7"/>
        <v>0</v>
      </c>
      <c r="AL19" s="974">
        <f t="shared" si="7"/>
        <v>0</v>
      </c>
      <c r="AM19" s="974">
        <f t="shared" si="7"/>
        <v>1380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120</v>
      </c>
      <c r="BD19" s="966">
        <f t="shared" si="7"/>
        <v>295</v>
      </c>
      <c r="BE19" s="966">
        <f t="shared" si="7"/>
        <v>0</v>
      </c>
      <c r="BF19" s="976">
        <f t="shared" si="7"/>
        <v>0</v>
      </c>
      <c r="BG19" s="1061">
        <f>IF(ISNUMBER(Datos!K19/Datos!J19),Datos!K19/Datos!J19," - ")</f>
        <v>0.90821256038647347</v>
      </c>
      <c r="BH19" s="1061">
        <f>IF(ISNUMBER(((Datos!L19/Datos!K19)*11)/factor_trimestre),((Datos!L19/Datos!K19)*11)/factor_trimestre," - ")</f>
        <v>4.6382978723404253</v>
      </c>
      <c r="BI19" s="959">
        <f>IF(ISNUMBER(Datos!J19/Datos!I19),Datos!J19/Datos!I19," - ")</f>
        <v>0.76102941176470584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-0.98281786941580751</v>
      </c>
      <c r="BM19" s="1035">
        <f>IF(ISNUMBER((Datos!P19-Datos!Q19+R19)/(Datos!R19-Datos!P19+Datos!Q19-R19)),(Datos!P19-Datos!Q19+R19)/(Datos!R19-Datos!P19+Datos!Q19-R19)," - ")</f>
        <v>-1.7793594306049824E-2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164.54482671904336</v>
      </c>
      <c r="G21" s="600">
        <f>IF(ISNUMBER(STDEV(G8:G18)),STDEV(G8:G18),"-")</f>
        <v>151.55263112199668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147.31361104799515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39.385276436759966</v>
      </c>
      <c r="BD21" s="599"/>
      <c r="BE21" s="599">
        <f>IF(ISNUMBER(STDEV(BE8:BE18)),STDEV(BE8:BE18),"-")</f>
        <v>0</v>
      </c>
      <c r="BF21" s="604">
        <f>IF(ISNUMBER(STDEV(BF8:BF18)),STDEV(BF8:BF18),"-")</f>
        <v>0</v>
      </c>
      <c r="BG21" s="914">
        <f>IF(ISNUMBER(STDEV(BG8:BG18)),STDEV(BG8:BG18),"-")</f>
        <v>0.44580912432786274</v>
      </c>
      <c r="BH21" s="918">
        <f>IF(ISNUMBER(STDEV(BH8:BH18)),STDEV(BH8:BH18),"-")</f>
        <v>1.2798874138670115</v>
      </c>
      <c r="BI21" s="253">
        <f>IF(ISNUMBER(STDEV(BI8:BI18)),STDEV(BI8:BI18),"-")</f>
        <v>0.10084821246374613</v>
      </c>
      <c r="BJ21" s="234" t="str">
        <f>IF(ISNUMBER(BL21/BM21),BL21/BM21," - ")</f>
        <v xml:space="preserve"> - </v>
      </c>
      <c r="BK21" s="626"/>
      <c r="BL21" s="607">
        <f>IF(ISNUMBER(STDEV(BL8:BL18)),STDEV(BL8:BL18),"-")</f>
        <v>0.22588133287903644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U/CbaPXbSLeMJ/KhUDs+ZN5s9YTev3qOiT2FYNAEQ6+llyEKITgK34btZtHhKcagcARXJUgFubmwdsueaYCkg==" saltValue="rIKfeLbXNsTAYFqU6OnB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ASTORGA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1332</v>
      </c>
      <c r="AF12" s="619" t="str">
        <f>IF(ISNUMBER(Datos!BV12),Datos!BV12," - ")</f>
        <v xml:space="preserve"> - </v>
      </c>
      <c r="AG12" s="506" t="str">
        <f>IF(ISNUMBER(Datos!DV12),Datos!DV12," - ")</f>
        <v xml:space="preserve"> - </v>
      </c>
      <c r="AH12" s="507"/>
      <c r="AI12" s="508"/>
      <c r="AJ12" s="506">
        <f>IF(ISNUMBER(Datos!M12),Datos!M12," - ")</f>
        <v>87</v>
      </c>
      <c r="AK12" s="619">
        <f>IF(ISNUMBER(Datos!N12),Datos!N12," - ")</f>
        <v>121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5.6810631229235877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-1.3333333333333334E-2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58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76</v>
      </c>
      <c r="AA13" s="1046">
        <f t="shared" si="2"/>
        <v>2</v>
      </c>
      <c r="AB13" s="1046">
        <f t="shared" si="2"/>
        <v>0</v>
      </c>
      <c r="AC13" s="1046">
        <f t="shared" si="2"/>
        <v>0</v>
      </c>
      <c r="AD13" s="1046">
        <f t="shared" si="2"/>
        <v>0</v>
      </c>
      <c r="AE13" s="1046">
        <f t="shared" si="2"/>
        <v>1334</v>
      </c>
      <c r="AF13" s="1054">
        <f t="shared" si="2"/>
        <v>0</v>
      </c>
      <c r="AG13" s="1054">
        <f t="shared" si="2"/>
        <v>0</v>
      </c>
      <c r="AH13" s="1054">
        <f t="shared" si="2"/>
        <v>0</v>
      </c>
      <c r="AI13" s="1054">
        <f t="shared" si="2"/>
        <v>0</v>
      </c>
      <c r="AJ13" s="1054">
        <f t="shared" si="2"/>
        <v>89</v>
      </c>
      <c r="AK13" s="1054">
        <f t="shared" si="2"/>
        <v>121</v>
      </c>
      <c r="AL13" s="1054">
        <f t="shared" si="2"/>
        <v>0</v>
      </c>
      <c r="AM13" s="1054">
        <f t="shared" si="2"/>
        <v>0</v>
      </c>
      <c r="AN13" s="1054">
        <f t="shared" si="2"/>
        <v>0</v>
      </c>
      <c r="AO13" s="1050">
        <f>IF(ISNUMBER(((NºAsuntos!I13/NºAsuntos!G13)*11)/factor_trimestre),((NºAsuntos!I13/NºAsuntos!G13)*11)/factor_trimestre," - ")</f>
        <v>5.6633663366336631</v>
      </c>
      <c r="AP13" s="1056" t="str">
        <f>IF(ISNUMBER(Datos!CI13/Datos!CJ13),Datos!CI13/Datos!CJ13," - ")</f>
        <v xml:space="preserve"> - </v>
      </c>
      <c r="AQ13" s="1074">
        <f t="shared" ref="AQ13:AV13" si="3">SUBTOTAL(9,AQ9:AQ12)</f>
        <v>0</v>
      </c>
      <c r="AR13" s="1074">
        <f t="shared" si="3"/>
        <v>-1.3333333333333334E-2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288</v>
      </c>
      <c r="G16" s="506">
        <f>IF(ISNUMBER(IF(D_I="SI",Datos!I16,Datos!I16+Datos!AC16)),IF(D_I="SI",Datos!I16,Datos!I16+Datos!AC16)," - ")</f>
        <v>275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267</v>
      </c>
      <c r="Z16" s="703">
        <f>IF(ISNUMBER(Datos!Q16),Datos!Q16," - ")</f>
        <v>20</v>
      </c>
      <c r="AA16" s="505">
        <f>IF(ISNUMBER(IF(D_I="SI",Datos!L16,Datos!L16+Datos!AF16)),IF(D_I="SI",Datos!L16,Datos!L16+Datos!AF16)," - ")</f>
        <v>299</v>
      </c>
      <c r="AB16" s="503"/>
      <c r="AC16" s="503"/>
      <c r="AD16" s="516"/>
      <c r="AE16" s="516">
        <f>IF(ISNUMBER(Datos!R16),Datos!R16," - ")</f>
        <v>45</v>
      </c>
      <c r="AF16" s="619" t="str">
        <f>IF(ISNUMBER(Datos!BV16),Datos!BV16," - ")</f>
        <v xml:space="preserve"> - </v>
      </c>
      <c r="AG16" s="506"/>
      <c r="AH16" s="507"/>
      <c r="AI16" s="508"/>
      <c r="AJ16" s="506">
        <f>IF(ISNUMBER(Datos!M16),Datos!M16," - ")</f>
        <v>30</v>
      </c>
      <c r="AK16" s="619">
        <f>IF(ISNUMBER(Datos!N16),Datos!N16," - ")</f>
        <v>160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3.3595505617977532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v>
      </c>
      <c r="Z17" s="703">
        <f>IF(ISNUMBER(Datos!Q17),Datos!Q17," - ")</f>
        <v>0</v>
      </c>
      <c r="AA17" s="505">
        <f>IF(ISNUMBER(Datos!L17),Datos!L17,"-")</f>
        <v>21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3.7058823529411771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288</v>
      </c>
      <c r="G18" s="1044">
        <f>SUBTOTAL(9,G15:G17)</f>
        <v>294</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284</v>
      </c>
      <c r="Z18" s="1078">
        <f t="shared" si="5"/>
        <v>20</v>
      </c>
      <c r="AA18" s="1078">
        <f t="shared" si="5"/>
        <v>320</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31</v>
      </c>
      <c r="AK18" s="1078">
        <f t="shared" si="5"/>
        <v>174</v>
      </c>
      <c r="AL18" s="1078">
        <f t="shared" si="5"/>
        <v>0</v>
      </c>
      <c r="AM18" s="1078">
        <f t="shared" si="5"/>
        <v>0</v>
      </c>
      <c r="AN18" s="1078">
        <f t="shared" si="5"/>
        <v>0</v>
      </c>
      <c r="AO18" s="1080">
        <f>IF(ISNUMBER(((NºAsuntos!I18/NºAsuntos!G18)*11)/factor_trimestre),((NºAsuntos!I18/NºAsuntos!G18)*11)/factor_trimestre," - ")</f>
        <v>3.3802816901408455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291</v>
      </c>
      <c r="G19" s="966">
        <f t="shared" si="7"/>
        <v>297</v>
      </c>
      <c r="H19" s="967">
        <f t="shared" si="7"/>
        <v>0</v>
      </c>
      <c r="I19" s="966">
        <f t="shared" si="7"/>
        <v>0</v>
      </c>
      <c r="J19" s="968">
        <f t="shared" si="7"/>
        <v>0</v>
      </c>
      <c r="K19" s="966">
        <f t="shared" si="7"/>
        <v>0</v>
      </c>
      <c r="L19" s="969">
        <f t="shared" si="7"/>
        <v>0</v>
      </c>
      <c r="M19" s="966">
        <f t="shared" si="7"/>
        <v>0</v>
      </c>
      <c r="N19" s="967">
        <f t="shared" si="7"/>
        <v>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286</v>
      </c>
      <c r="Z19" s="973">
        <f t="shared" si="8"/>
        <v>96</v>
      </c>
      <c r="AA19" s="974">
        <f t="shared" si="8"/>
        <v>322</v>
      </c>
      <c r="AB19" s="974">
        <f t="shared" si="8"/>
        <v>0</v>
      </c>
      <c r="AC19" s="974">
        <f t="shared" si="8"/>
        <v>0</v>
      </c>
      <c r="AD19" s="975">
        <f t="shared" si="8"/>
        <v>0</v>
      </c>
      <c r="AE19" s="975">
        <f t="shared" si="8"/>
        <v>1380</v>
      </c>
      <c r="AF19" s="976">
        <f t="shared" si="8"/>
        <v>0</v>
      </c>
      <c r="AG19" s="977">
        <f t="shared" si="8"/>
        <v>0</v>
      </c>
      <c r="AH19" s="978">
        <f t="shared" si="8"/>
        <v>0</v>
      </c>
      <c r="AI19" s="976">
        <f t="shared" si="8"/>
        <v>0</v>
      </c>
      <c r="AJ19" s="966">
        <f t="shared" si="8"/>
        <v>120</v>
      </c>
      <c r="AK19" s="966">
        <f t="shared" si="8"/>
        <v>295</v>
      </c>
      <c r="AL19" s="966">
        <f t="shared" si="8"/>
        <v>0</v>
      </c>
      <c r="AM19" s="979">
        <f t="shared" si="8"/>
        <v>0</v>
      </c>
      <c r="AN19" s="969">
        <f>IF(ISNUMBER(Datos!K19/Datos!J19),Datos!K19/Datos!J19," - ")</f>
        <v>0.90821256038647347</v>
      </c>
      <c r="AO19" s="969">
        <f>IF(ISNUMBER(FIND("06",Criterios!A8,1)),(IF(ISNUMBER(((Datos!R19/Datos!Q19)*11)/factor_trimestre),((Datos!R19/Datos!Q19)*11)/factor_trimestre," - ")),(IF(ISNUMBER(((Datos!L19/Datos!K19)*11)/factor_trimestre),((Datos!L19/Datos!K19)*11)/factor_trimestre," - ")))</f>
        <v>4.6382978723404253</v>
      </c>
      <c r="AP19" s="980" t="str">
        <f>IF(ISNUMBER(Datos!CI19/Datos!CJ19),Datos!CI19/Datos!CJ19," - ")</f>
        <v xml:space="preserve"> - </v>
      </c>
      <c r="AQ19" s="980">
        <f>IF(OR(ISNUMBER(FIND("01",Criterios!A8,1)),ISNUMBER(FIND("02",Criterios!A8,1)),ISNUMBER(FIND("03",Criterios!A8,1)),ISNUMBER(FIND("04",Criterios!A8,1))),(J19-Y19+K19)/(F19-K19),(I19-Y19+K19)/(F19-K19))</f>
        <v>-0.98281786941580751</v>
      </c>
      <c r="AR19" s="980">
        <f>IF(ISNUMBER((Datos!P19-Datos!Q19+O19)/(Datos!R19-Datos!P19+Datos!Q19-O19)),(Datos!P19-Datos!Q19+O19)/(Datos!R19-Datos!P19+Datos!Q19-O19)," - ")</f>
        <v>-1.7793594306049824E-2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164.54482671904336</v>
      </c>
      <c r="G21" s="600">
        <f>IF(ISNUMBER(STDEV(G8:G18)),STDEV(G8:G18),"-")</f>
        <v>151.55263112199668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39.385276436759966</v>
      </c>
      <c r="AK21" s="256"/>
      <c r="AL21" s="256">
        <f>IF(ISNUMBER(STDEV(AL8:AL18)),STDEV(AL8:AL18),"-")</f>
        <v>0</v>
      </c>
      <c r="AM21" s="258">
        <f>IF(ISNUMBER(STDEV(AM8:AM18)),STDEV(AM8:AM18),"-")</f>
        <v>0</v>
      </c>
      <c r="AN21" s="586">
        <f>IF(ISNUMBER(STDEV(AN8:AN18)),STDEV(AN8:AN18),"-")</f>
        <v>0</v>
      </c>
      <c r="AO21" s="587">
        <f>IF(ISNUMBER(STDEV(AO8:AO18)),STDEV(AO8:AO18),"-")</f>
        <v>1.2140376965140074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S82ZKCWM9ORPXB37vy8R7Mpddux67Z+X/Uw6wCRwAtGQGoAlSeiXUADOEh56P6nMID8klGNUCe8EbADT8oZuQ==" saltValue="IHZq4g4WP6PzDasEFW8f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lqkIMBcApGNiSp2VAR6Q4+FB45Sb/fs0gY8j1bOIY6eN2uf0niZS2L3ePJgVdS30vL17EJz5DdXY3lCUO/l5Q==" saltValue="MhpOQHrVNqvFYxjH1Bur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0TsR5X922zOrns5RFnE4cvKiUTjr5NabkFH6PaqFVnjmjN/UqkUxflTw1WdG/a6ffA737fvpPxzSkz/Oql3rQ==" saltValue="iNyYRmLARicRfvNxAf8/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ASTORGA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0.29372937293729373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0.20769803143763277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xYcahlkVX1ZrH8XQNFSrL3RpGxBbamH4OMXwmF2t2+aq+WiFEjn8kiFl6r7LWAE/AAUUYUPEIKHyT87QXiqNA==" saltValue="eV+4NzkMqi77d4kAoHKO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UsC4nzlnJZB/shk+B/zviRaChq7lCo624cvaG7DKaAiJu7+QxbbQwQCFzw/ioWrFYmz2Fl+ay8CWatdzXNKiw==" saltValue="kfYGyo8MrFhRVlvq6qEm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ASTORGA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2</v>
      </c>
      <c r="H10" s="415">
        <f>IF(ISNUMBER(G10/B10),G10/B10," - ")</f>
        <v>2</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543</v>
      </c>
      <c r="D12" s="415">
        <f>IF(ISNUMBER(C12/Datos!BH12),C12/Datos!BH12," - ")</f>
        <v>271.5</v>
      </c>
      <c r="E12" s="414">
        <f>IF(ISNUMBER(IF(J_V="SI",Datos!J12,Datos!J12+Datos!Z12)),IF(J_V="SI",Datos!J12,Datos!J12+Datos!Z12)," - ")</f>
        <v>340</v>
      </c>
      <c r="F12" s="415">
        <f>IF(ISNUMBER(E12/B12),E12/B12," - ")</f>
        <v>170</v>
      </c>
      <c r="G12" s="414">
        <f>IF(ISNUMBER(IF(J_V="SI",Datos!K12,Datos!K12+Datos!AA12)),IF(J_V="SI",Datos!K12,Datos!K12+Datos!AA12)," - ")</f>
        <v>301</v>
      </c>
      <c r="H12" s="415">
        <f>IF(ISNUMBER(G12/B12),G12/B12," - ")</f>
        <v>150.5</v>
      </c>
      <c r="I12" s="414">
        <f>IF(ISNUMBER(IF(J_V="SI",Datos!L12,Datos!L12+Datos!AB12)),IF(J_V="SI",Datos!L12,Datos!L12+Datos!AB12)," - ")</f>
        <v>570</v>
      </c>
      <c r="J12" s="415">
        <f>IF(ISNUMBER(I12/B12),I12/B12," - ")</f>
        <v>285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546</v>
      </c>
      <c r="D13" s="996" t="str">
        <f>IF(ISNUMBER(C13/Datos!BI13),C13/Datos!BI13," - ")</f>
        <v xml:space="preserve"> - </v>
      </c>
      <c r="E13" s="995">
        <f>SUBTOTAL(9,E8:E12)</f>
        <v>341</v>
      </c>
      <c r="F13" s="996">
        <f>IF(ISNUMBER(E13/B13),E13/B13," - ")</f>
        <v>170.5</v>
      </c>
      <c r="G13" s="995">
        <f>SUBTOTAL(9,G8:G12)</f>
        <v>303</v>
      </c>
      <c r="H13" s="996">
        <f>IF(ISNUMBER(G13/B13),G13/B13," - ")</f>
        <v>151.5</v>
      </c>
      <c r="I13" s="995">
        <f>SUBTOTAL(9,I8:I12)</f>
        <v>572</v>
      </c>
      <c r="J13" s="996">
        <f>IF(ISNUMBER(I13/B13),I13/B13," - ")</f>
        <v>286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275</v>
      </c>
      <c r="D16" s="415">
        <f>IF(ISNUMBER(C16/Datos!BH16),C16/Datos!BH16," - ")</f>
        <v>137.5</v>
      </c>
      <c r="E16" s="414">
        <f>IF(ISNUMBER(IF(D_I="SI",Datos!J16,Datos!J16+Datos!AD16)),IF(D_I="SI",Datos!J16,Datos!J16+Datos!AD16)," - ")</f>
        <v>278</v>
      </c>
      <c r="F16" s="415">
        <f>IF(ISNUMBER(E16/B16),E16/B16," - ")</f>
        <v>139</v>
      </c>
      <c r="G16" s="414">
        <f>IF(ISNUMBER(IF(D_I="SI",Datos!K16,Datos!K16+Datos!AE16)),IF(D_I="SI",Datos!K16,Datos!K16+Datos!AE16)," - ")</f>
        <v>267</v>
      </c>
      <c r="H16" s="415">
        <f>IF(ISNUMBER(G16/B16),G16/B16," - ")</f>
        <v>133.5</v>
      </c>
      <c r="I16" s="414">
        <f>IF(ISNUMBER(IF(D_I="SI",Datos!L16,Datos!L16+Datos!AF16)),IF(D_I="SI",Datos!L16,Datos!L16+Datos!AF16)," - ")</f>
        <v>299</v>
      </c>
      <c r="J16" s="415">
        <f>IF(ISNUMBER(I16/B16),I16/B16," - ")</f>
        <v>149.5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19</v>
      </c>
      <c r="F17" s="415">
        <f>IF(ISNUMBER(E17/B17),E17/B17," - ")</f>
        <v>19</v>
      </c>
      <c r="G17" s="414">
        <f>IF(ISNUMBER(IF(D_I="SI",Datos!K17,Datos!K17+Datos!AE17)),IF(D_I="SI",Datos!K17,Datos!K17+Datos!AE17)," - ")</f>
        <v>17</v>
      </c>
      <c r="H17" s="415">
        <f>IF(ISNUMBER(G17/B17),G17/B17," - ")</f>
        <v>17</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294</v>
      </c>
      <c r="D18" s="996" t="str">
        <f>IF(ISNUMBER(C18/Datos!BI18),C18/Datos!BI18," - ")</f>
        <v xml:space="preserve"> - </v>
      </c>
      <c r="E18" s="995">
        <f>SUBTOTAL(9,E14:E17)</f>
        <v>297</v>
      </c>
      <c r="F18" s="996">
        <f>IF(ISNUMBER(E18/B18),E18/B18," - ")</f>
        <v>148.5</v>
      </c>
      <c r="G18" s="995">
        <f>SUBTOTAL(9,G14:G17)</f>
        <v>284</v>
      </c>
      <c r="H18" s="996">
        <f>IF(ISNUMBER(G18/B18),G18/B18," - ")</f>
        <v>142</v>
      </c>
      <c r="I18" s="995">
        <f>SUBTOTAL(9,I14:I17)</f>
        <v>320</v>
      </c>
      <c r="J18" s="996">
        <f>IF(ISNUMBER(I18/B18),I18/B18," - ")</f>
        <v>160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840</v>
      </c>
      <c r="D19" s="941" t="str">
        <f>IF(ISNUMBER(C19/Datos!BI19),C19/Datos!BI19," - ")</f>
        <v xml:space="preserve"> - </v>
      </c>
      <c r="E19" s="940">
        <f>SUBTOTAL(9,E9:E18)</f>
        <v>638</v>
      </c>
      <c r="F19" s="941">
        <f>IF(ISNUMBER(E19/B19),E19/B19," - ")</f>
        <v>319</v>
      </c>
      <c r="G19" s="940">
        <f>SUBTOTAL(9,G9:G18)</f>
        <v>587</v>
      </c>
      <c r="H19" s="941">
        <f>IF(ISNUMBER(G19/B19),G19/B19," - ")</f>
        <v>293.5</v>
      </c>
      <c r="I19" s="940">
        <f>SUBTOTAL(9,I9:I18)</f>
        <v>892</v>
      </c>
      <c r="J19" s="941">
        <f>IF(ISNUMBER(I19/B19),I19/B19," - ")</f>
        <v>446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M4p1O2Qyo7sW1zWTpTtReDI2Lqr6DkXr38oWXlb8owtzkPUbpp6bFtF58nRhSViv+8gr3WK7gFAwfcIvPvBgQ==" saltValue="x+YGmhtNqJUMMVqATmnM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ASTORGA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87</v>
      </c>
      <c r="AM12" s="810">
        <f>IF(ISNUMBER(Datos!N12+DatosP!N16),Datos!N12+DatosP!N16," - ")</f>
        <v>121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5.6810631229235877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-1.3333333333333334E-2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58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76</v>
      </c>
      <c r="AE13" s="1085">
        <f t="shared" si="1"/>
        <v>0</v>
      </c>
      <c r="AF13" s="1085">
        <f t="shared" si="1"/>
        <v>2</v>
      </c>
      <c r="AG13" s="1085">
        <f t="shared" si="1"/>
        <v>0</v>
      </c>
      <c r="AH13" s="1085">
        <f t="shared" si="1"/>
        <v>1332</v>
      </c>
      <c r="AI13" s="1085">
        <f t="shared" si="1"/>
        <v>0</v>
      </c>
      <c r="AJ13" s="1085">
        <f t="shared" si="1"/>
        <v>0</v>
      </c>
      <c r="AK13" s="1085">
        <f t="shared" si="1"/>
        <v>0</v>
      </c>
      <c r="AL13" s="1085">
        <f t="shared" si="1"/>
        <v>89</v>
      </c>
      <c r="AM13" s="1085">
        <f t="shared" si="1"/>
        <v>121</v>
      </c>
      <c r="AN13" s="1085">
        <f t="shared" si="1"/>
        <v>0</v>
      </c>
      <c r="AO13" s="1085">
        <f t="shared" si="1"/>
        <v>0</v>
      </c>
      <c r="AP13" s="1090">
        <f>IF(ISNUMBER(((Datos!L13/Datos!K13)*11)/factor_trimestre),((Datos!L13/Datos!K13)*11)/factor_trimestre," - ")</f>
        <v>5.9142857142857146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-1.3333333333333334E-2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3.3802816901408455</v>
      </c>
      <c r="AQ18" s="1090">
        <f>IF(ISNUMBER(((Datos!M18/Datos!L18)*11)/factor_trimestre),((Datos!M18/Datos!L18)*11)/factor_trimestre," - ")</f>
        <v>0.29062500000000002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-0.13207547169811321</v>
      </c>
      <c r="AW18" s="1092">
        <f>IF(ISNUMBER((Datos!Q18-Datos!R18)/(Datos!S18-Datos!Q18+Datos!R18)),(Datos!Q18-Datos!R18)/(Datos!S18-Datos!Q18+Datos!R18)," - ")</f>
        <v>-7.0844686648501368E-2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58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76</v>
      </c>
      <c r="AE19" s="1103">
        <f t="shared" si="5"/>
        <v>0</v>
      </c>
      <c r="AF19" s="1104">
        <f t="shared" si="5"/>
        <v>2</v>
      </c>
      <c r="AG19" s="1104">
        <f t="shared" si="5"/>
        <v>0</v>
      </c>
      <c r="AH19" s="1104">
        <f t="shared" si="5"/>
        <v>1332</v>
      </c>
      <c r="AI19" s="1104">
        <f t="shared" si="5"/>
        <v>0</v>
      </c>
      <c r="AJ19" s="1105">
        <f t="shared" si="5"/>
        <v>0</v>
      </c>
      <c r="AK19" s="1105">
        <f t="shared" si="5"/>
        <v>0</v>
      </c>
      <c r="AL19" s="1097">
        <f t="shared" si="5"/>
        <v>89</v>
      </c>
      <c r="AM19" s="1097">
        <f t="shared" si="5"/>
        <v>121</v>
      </c>
      <c r="AN19" s="1097">
        <f t="shared" si="5"/>
        <v>0</v>
      </c>
      <c r="AO19" s="1097">
        <f t="shared" si="5"/>
        <v>0</v>
      </c>
      <c r="AP19" s="1097">
        <f>IF(ISNUMBER(((Datos!L19/Datos!K19)*11)/factor_trimestre),((Datos!L19/Datos!K19)*11)/factor_trimestre," - ")</f>
        <v>4.6382978723404253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-1.7793594306049824E-2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50.242744086418426</v>
      </c>
      <c r="AM21" s="869"/>
      <c r="AN21" s="869">
        <f>IF(ISNUMBER(STDEV(AN8:AN18)),STDEV(AN8:AN18),"-")</f>
        <v>0</v>
      </c>
      <c r="AO21" s="875">
        <f>IF(ISNUMBER(STDEV(AO8:AO18)),STDEV(AO8:AO18),"-")</f>
        <v>0</v>
      </c>
      <c r="AP21" s="922">
        <f>IF(ISNUMBER(STDEV(AP8:AP18)),STDEV(AP8:AP18),"-")</f>
        <v>1.5164360419084824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0HvLNP3ntDXKG6mpucGQOrSPPBJEuScvVEQvz8HwQmldCSfhpZwBZrzTa42WgIZC+PN6YFjccnnXCCzjfYkcQ==" saltValue="Fa4+jF9tDA0igbcoAxE1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ASTORGA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5WknBelEHPCrC1ORZGDbJUVXLB/aF+zSBw402XWpxGPU9RYU5VZj6loMOY1qxpOoyL/DzbebLXJNx5MVKpeUKw==" saltValue="bF1WUknShyBBT+BzJW5t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ASTORGA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87</v>
      </c>
      <c r="E12" s="415">
        <f t="shared" si="0"/>
        <v>43.5</v>
      </c>
      <c r="F12" s="414">
        <f>IF(ISNUMBER(Datos!N12),Datos!N12," - ")</f>
        <v>121</v>
      </c>
      <c r="G12" s="415">
        <f t="shared" si="1"/>
        <v>60.5</v>
      </c>
      <c r="H12" s="414">
        <f>IF(ISNUMBER(Datos!O12),Datos!O12," - ")</f>
        <v>133</v>
      </c>
      <c r="I12" s="415">
        <f t="shared" si="2"/>
        <v>66.5</v>
      </c>
    </row>
    <row r="13" spans="1:9" ht="14.25" thickTop="1" thickBot="1">
      <c r="A13" s="994" t="str">
        <f>Datos!A13</f>
        <v>TOTAL</v>
      </c>
      <c r="B13" s="995">
        <f>Datos!AO13</f>
        <v>3</v>
      </c>
      <c r="C13" s="997">
        <f>Datos!AR13</f>
        <v>2</v>
      </c>
      <c r="D13" s="995">
        <f>SUBTOTAL(9,D9:D12)</f>
        <v>89</v>
      </c>
      <c r="E13" s="996">
        <f t="shared" si="0"/>
        <v>29.666666666666668</v>
      </c>
      <c r="F13" s="995">
        <f>SUBTOTAL(9,F9:F12)</f>
        <v>121</v>
      </c>
      <c r="G13" s="996">
        <f t="shared" si="1"/>
        <v>40.333333333333336</v>
      </c>
      <c r="H13" s="995">
        <f>SUBTOTAL(9,H9:H12)</f>
        <v>133</v>
      </c>
      <c r="I13" s="996">
        <f>IF(ISNUMBER(H13/B13),H13/B13," - ")</f>
        <v>44.333333333333336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160</v>
      </c>
      <c r="G16" s="415">
        <f t="shared" si="4"/>
        <v>80</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31</v>
      </c>
      <c r="E18" s="996">
        <f t="shared" si="3"/>
        <v>10.333333333333334</v>
      </c>
      <c r="F18" s="995">
        <f>SUBTOTAL(9,F15:F17)</f>
        <v>174</v>
      </c>
      <c r="G18" s="996">
        <f t="shared" si="4"/>
        <v>58</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120</v>
      </c>
      <c r="E19" s="941">
        <f>IF(ISNUMBER(D19/B19),D19/B19," - ")</f>
        <v>60</v>
      </c>
      <c r="F19" s="940">
        <f>SUBTOTAL(9,F8:F18)</f>
        <v>295</v>
      </c>
      <c r="G19" s="941">
        <f>IF(ISNUMBER(F19/B19),F19/B19," - ")</f>
        <v>147.5</v>
      </c>
      <c r="H19" s="940">
        <f>SUBTOTAL(9,H8:H18)</f>
        <v>140</v>
      </c>
      <c r="I19" s="941">
        <f>IF(ISNUMBER(H19/B19),H19/B19," - ")</f>
        <v>70</v>
      </c>
    </row>
    <row r="22" spans="1:9">
      <c r="A22" s="402" t="str">
        <f>Criterios!A4</f>
        <v>Fecha Informe: 06 oct. 2023</v>
      </c>
    </row>
    <row r="27" spans="1:9">
      <c r="A27" s="425"/>
    </row>
  </sheetData>
  <sheetProtection algorithmName="SHA-512" hashValue="IcqSL8Jit6sWgZpkHGM4iaNRHZhI8N1iR9f18zYwKSGx9mas4n1Hf4OLirDOoVWy8zYlCDsoOmZk1YCpI0G9rg==" saltValue="epGmsfk7Gekp5wHJ6Qhn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ASTORGA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58</v>
      </c>
      <c r="C12" s="450">
        <f>IF(ISNUMBER(Datos!Q12),Datos!Q12," - ")</f>
        <v>76</v>
      </c>
      <c r="D12" s="419">
        <f>IF(ISNUMBER(Datos!R12),Datos!R12," - ")</f>
        <v>1332</v>
      </c>
    </row>
    <row r="13" spans="1:4" ht="14.25" thickTop="1" thickBot="1">
      <c r="A13" s="994" t="str">
        <f>Datos!A13</f>
        <v>TOTAL</v>
      </c>
      <c r="B13" s="995">
        <f>SUBTOTAL(9,B9:B12)</f>
        <v>58</v>
      </c>
      <c r="C13" s="999">
        <f>SUBTOTAL(9,C9:C12)</f>
        <v>76</v>
      </c>
      <c r="D13" s="997">
        <f>SUBTOTAL(9,D9:D12)</f>
        <v>1334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20</v>
      </c>
      <c r="D16" s="419">
        <f>IF(ISNUMBER(Datos!R16),Datos!R16," - ")</f>
        <v>45</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13</v>
      </c>
      <c r="C18" s="999">
        <f>SUBTOTAL(9,C15:C17)</f>
        <v>20</v>
      </c>
      <c r="D18" s="997">
        <f>SUBTOTAL(9,D15:D17)</f>
        <v>46</v>
      </c>
    </row>
    <row r="19" spans="1:4" ht="16.5" customHeight="1" thickTop="1" thickBot="1">
      <c r="A19" s="939" t="str">
        <f>Datos!A19</f>
        <v>TOTAL JURISDICCIONES</v>
      </c>
      <c r="B19" s="944">
        <f>SUBTOTAL(9,B8:B18)</f>
        <v>71</v>
      </c>
      <c r="C19" s="945">
        <f>SUBTOTAL(9,C8:C18)</f>
        <v>96</v>
      </c>
      <c r="D19" s="946">
        <f>SUBTOTAL(9,D8:D18)</f>
        <v>1380</v>
      </c>
    </row>
    <row r="20" spans="1:4" ht="7.5" customHeight="1"/>
    <row r="21" spans="1:4" ht="6" customHeight="1"/>
    <row r="22" spans="1:4">
      <c r="A22" s="402" t="str">
        <f>Criterios!A4</f>
        <v>Fecha Informe: 06 oct. 2023</v>
      </c>
    </row>
    <row r="27" spans="1:4">
      <c r="A27" s="425"/>
    </row>
  </sheetData>
  <sheetProtection algorithmName="SHA-512" hashValue="0X3e/1YTmlizbTb6VjQWc7SQWq2BFis4ZxEjjmiJG/E2UzWS8Z3bZUDPTuynlrqvBRKhdkNl8C9rR2SN4+yBcQ==" saltValue="kiW+zIE9ZTsVVi7hDc/g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ASTORGA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-0.66666666666666663</v>
      </c>
      <c r="D10" s="472">
        <f>IF(ISNUMBER((Datos!K10-Datos!U10)/Datos!U10),(Datos!K10-Datos!U10)/Datos!U10," - ")</f>
        <v>-0.6</v>
      </c>
      <c r="E10" s="472">
        <f>IF(ISNUMBER((Datos!L10-Datos!V10)/Datos!V10),(Datos!L10-Datos!V10)/Datos!V10," - ")</f>
        <v>-0.33333333333333331</v>
      </c>
      <c r="F10" s="472">
        <f>IF(ISNUMBER((Datos!M10-Datos!W10)/Datos!W10),(Datos!M10-Datos!W10)/Datos!W10," - ")</f>
        <v>-0.33333333333333331</v>
      </c>
      <c r="G10" s="473">
        <f>IF(ISNUMBER((Datos!N10-Datos!X10)/Datos!X10),(Datos!N10-Datos!X10)/Datos!X10," - ")</f>
        <v>-1</v>
      </c>
      <c r="H10" s="471">
        <f>IF(ISNUMBER(((NºAsuntos!G10/NºAsuntos!E10)-Datos!BD10)/Datos!BD10),((NºAsuntos!G10/NºAsuntos!E10)-Datos!BD10)/Datos!BD10," - ")</f>
        <v>0.19999999999999996</v>
      </c>
      <c r="I10" s="472">
        <f>IF(ISNUMBER(((NºAsuntos!I10/NºAsuntos!G10)-Datos!BE10)/Datos!BE10),((NºAsuntos!I10/NºAsuntos!G10)-Datos!BE10)/Datos!BE10," - ")</f>
        <v>0.66666666666666674</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0.24999999999999994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0.16523605150214593</v>
      </c>
      <c r="C12" s="472">
        <f>IF(ISNUMBER(
   IF(J_V="SI",(Datos!J12-Datos!T12)/Datos!T12,(Datos!J12+Datos!Z12-(Datos!T12+Datos!AH12))/(Datos!T12+Datos!AH12))
     ),IF(J_V="SI",(Datos!J12-Datos!T12)/Datos!T12,(Datos!J12+Datos!Z12-(Datos!T12+Datos!AH12))/(Datos!T12+Datos!AH12))," - ")</f>
        <v>0.24542124542124541</v>
      </c>
      <c r="D12" s="472">
        <f>IF(ISNUMBER(
   IF(J_V="SI",(Datos!K12-Datos!U12)/Datos!U12,(Datos!K12+Datos!AA12-(Datos!U12+Datos!AI12))/(Datos!U12+Datos!AI12))
     ),IF(J_V="SI",(Datos!K12-Datos!U12)/Datos!U12,(Datos!K12+Datos!AA12-(Datos!U12+Datos!AI12))/(Datos!U12+Datos!AI12))," - ")</f>
        <v>-1.3114754098360656E-2</v>
      </c>
      <c r="E12" s="472">
        <f>IF(ISNUMBER(
   IF(J_V="SI",(Datos!L12-Datos!V12)/Datos!V12,(Datos!L12+Datos!AB12-(Datos!V12+Datos!AJ12))/(Datos!V12+Datos!AJ12))
     ),IF(J_V="SI",(Datos!L12-Datos!V12)/Datos!V12,(Datos!L12+Datos!AB12-(Datos!V12+Datos!AJ12))/(Datos!V12+Datos!AJ12))," - ")</f>
        <v>0.31336405529953915</v>
      </c>
      <c r="F12" s="472">
        <f>IF(ISNUMBER((Datos!M12-Datos!W12)/Datos!W12),(Datos!M12-Datos!W12)/Datos!W12," - ")</f>
        <v>-9.375E-2</v>
      </c>
      <c r="G12" s="473">
        <f>IF(ISNUMBER((Datos!N12-Datos!X12)/Datos!X12),(Datos!N12-Datos!X12)/Datos!X12," - ")</f>
        <v>2.5423728813559324E-2</v>
      </c>
      <c r="H12" s="471">
        <f>IF(ISNUMBER(((NºAsuntos!G12/NºAsuntos!E12)-Datos!BD12)/Datos!BD12),((NºAsuntos!G12/NºAsuntos!E12)-Datos!BD12)/Datos!BD12," - ")</f>
        <v>-0.207589199614272</v>
      </c>
      <c r="I12" s="472">
        <f>IF(ISNUMBER(((NºAsuntos!I12/NºAsuntos!G12)-Datos!BE12)/Datos!BE12),((NºAsuntos!I12/NºAsuntos!G12)-Datos!BE12)/Datos!BE12," - ")</f>
        <v>0.33081739822710771</v>
      </c>
      <c r="J12" s="477">
        <f>IF(ISNUMBER((('Resol  Asuntos'!D12/NºAsuntos!G12)-Datos!BF12)/Datos!BF12),(('Resol  Asuntos'!D12/NºAsuntos!G12)-Datos!BF12)/Datos!BF12," - ")</f>
        <v>-0.25291401542879671</v>
      </c>
      <c r="K12" s="478">
        <f>IF(ISNUMBER((((NºAsuntos!C12+NºAsuntos!E12)/NºAsuntos!G12)-Datos!BG12)/Datos!BG12),(((NºAsuntos!C12+NºAsuntos!E12)/NºAsuntos!G12)-Datos!BG12)/Datos!BG12," - ")</f>
        <v>0.21073642661583622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0.15923566878980891</v>
      </c>
      <c r="C13" s="1001">
        <f>IF(ISNUMBER(
   IF(J_V="SI",(Datos!J13-Datos!T13)/Datos!T13,(Datos!J13+Datos!Z13-(Datos!T13+Datos!AH13))/(Datos!T13+Datos!AH13))
     ),IF(J_V="SI",(Datos!J13-Datos!T13)/Datos!T13,(Datos!J13+Datos!Z13-(Datos!T13+Datos!AH13))/(Datos!T13+Datos!AH13))," - ")</f>
        <v>0.23550724637681159</v>
      </c>
      <c r="D13" s="1001">
        <f>IF(ISNUMBER(
   IF(J_V="SI",(Datos!K13-Datos!U13)/Datos!U13,(Datos!K13+Datos!AA13-(Datos!U13+Datos!AI13))/(Datos!U13+Datos!AI13))
     ),IF(J_V="SI",(Datos!K13-Datos!U13)/Datos!U13,(Datos!K13+Datos!AA13-(Datos!U13+Datos!AI13))/(Datos!U13+Datos!AI13))," - ")</f>
        <v>-2.2580645161290321E-2</v>
      </c>
      <c r="E13" s="1001">
        <f>IF(ISNUMBER(
   IF(J_V="SI",(Datos!L13-Datos!V13)/Datos!V13,(Datos!L13+Datos!AB13-(Datos!V13+Datos!AJ13))/(Datos!V13+Datos!AJ13))
     ),IF(J_V="SI",(Datos!L13-Datos!V13)/Datos!V13,(Datos!L13+Datos!AB13-(Datos!V13+Datos!AJ13))/(Datos!V13+Datos!AJ13))," - ")</f>
        <v>0.30892448512585813</v>
      </c>
      <c r="F13" s="1002">
        <f>IF(ISNUMBER((Datos!M13-Datos!W13)/Datos!W13),(Datos!M13-Datos!W13)/Datos!W13," - ")</f>
        <v>-0.10101010101010101</v>
      </c>
      <c r="G13" s="1003">
        <f>IF(ISNUMBER((Datos!N13-Datos!X13)/Datos!X13),(Datos!N13-Datos!X13)/Datos!X13," - ")</f>
        <v>1.680672268907563E-2</v>
      </c>
      <c r="H13" s="1003">
        <f>IF(ISNUMBER(((NºAsuntos!G13/NºAsuntos!E13)-Datos!BD13)/Datos!BD13),((NºAsuntos!G13/NºAsuntos!E13)-Datos!BD13)/Datos!BD13," - ")</f>
        <v>-0.20889225238861042</v>
      </c>
      <c r="I13" s="1003">
        <f>IF(ISNUMBER(((NºAsuntos!I13/NºAsuntos!G13)-Datos!BE13)/Datos!BE13),((NºAsuntos!I13/NºAsuntos!G13)-Datos!BE13)/Datos!BE13," - ")</f>
        <v>0.33916366465021786</v>
      </c>
      <c r="J13" s="1003">
        <f>IF(ISNUMBER((('Resol  Asuntos'!D13/NºAsuntos!G13)-Datos!BF13)/Datos!BF13),(('Resol  Asuntos'!D13/NºAsuntos!G13)-Datos!BF13)/Datos!BF13," - ")</f>
        <v>-0.24747020156561109</v>
      </c>
      <c r="K13" s="1003">
        <f>IF(ISNUMBER((((NºAsuntos!C13+NºAsuntos!E13)/NºAsuntos!G13)-Datos!BG13)/Datos!BG13),(((NºAsuntos!C13+NºAsuntos!E13)/NºAsuntos!G13)-Datos!BG13)/Datos!BG13," - ")</f>
        <v>0.21484839246976897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-9.8360655737704916E-2</v>
      </c>
      <c r="C16" s="472">
        <f>IF(ISNUMBER(
   IF(D_I="SI",(Datos!J16-Datos!T16)/Datos!T16,(Datos!J16+Datos!AD16-(Datos!T16+Datos!AL16))/(Datos!T16+Datos!AL16))
     ),IF(D_I="SI",(Datos!J16-Datos!T16)/Datos!T16,(Datos!J16+Datos!AD16-(Datos!T16+Datos!AL16))/(Datos!T16+Datos!AL16))," - ")</f>
        <v>4.5112781954887216E-2</v>
      </c>
      <c r="D16" s="472">
        <f>IF(ISNUMBER(
   IF(D_I="SI",(Datos!K16-Datos!U16)/Datos!U16,(Datos!K16+Datos!AE16-(Datos!U16+Datos!AM16))/(Datos!U16+Datos!AM16))
     ),IF(D_I="SI",(Datos!K16-Datos!U16)/Datos!U16,(Datos!K16+Datos!AE16-(Datos!U16+Datos!AM16))/(Datos!U16+Datos!AM16))," - ")</f>
        <v>-8.8737201365187715E-2</v>
      </c>
      <c r="E16" s="472">
        <f>IF(ISNUMBER(
   IF(D_I="SI",(Datos!L16-Datos!V16)/Datos!V16,(Datos!L16+Datos!AF16-(Datos!V16+Datos!AN16))/(Datos!V16+Datos!AN16))
     ),IF(D_I="SI",(Datos!L16-Datos!V16)/Datos!V16,(Datos!L16+Datos!AF16-(Datos!V16+Datos!AN16))/(Datos!V16+Datos!AN16))," - ")</f>
        <v>5.2816901408450703E-2</v>
      </c>
      <c r="F16" s="472">
        <f>IF(ISNUMBER((Datos!M16-Datos!W16)/Datos!W16),(Datos!M16-Datos!W16)/Datos!W16," - ")</f>
        <v>-0.41176470588235292</v>
      </c>
      <c r="G16" s="473">
        <f>IF(ISNUMBER((Datos!N16-Datos!X16)/Datos!X16),(Datos!N16-Datos!X16)/Datos!X16," - ")</f>
        <v>9.5890410958904104E-2</v>
      </c>
      <c r="H16" s="471">
        <f>IF(ISNUMBER(((NºAsuntos!G16/NºAsuntos!E16)-Datos!BD16)/Datos!BD16),((NºAsuntos!G16/NºAsuntos!E16)-Datos!BD16)/Datos!BD16," - ")</f>
        <v>-0.12807228619834504</v>
      </c>
      <c r="I16" s="472">
        <f>IF(ISNUMBER(((NºAsuntos!I16/NºAsuntos!G16)-Datos!BE16)/Datos!BE16),((NºAsuntos!I16/NºAsuntos!G16)-Datos!BE16)/Datos!BE16," - ")</f>
        <v>0.15533839742575312</v>
      </c>
      <c r="J16" s="477">
        <f>IF(ISNUMBER((('Resol  Asuntos'!D16/NºAsuntos!G16)-Datos!BF16)/Datos!BF16),(('Resol  Asuntos'!D16/NºAsuntos!G16)-Datos!BF16)/Datos!BF16," - ")</f>
        <v>-0.35448336638026001</v>
      </c>
      <c r="K16" s="478">
        <f>IF(ISNUMBER((((NºAsuntos!C16+NºAsuntos!E16)/NºAsuntos!G16)-Datos!BG16)/Datos!BG16),(((NºAsuntos!C16+NºAsuntos!E16)/NºAsuntos!G16)-Datos!BG16)/Datos!BG16," - ")</f>
        <v>6.278491640265782E-2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-0.47222222222222221</v>
      </c>
      <c r="C17" s="472">
        <f>IF(ISNUMBER(
   IF(D_I="SI",(Datos!J17-Datos!T17)/Datos!T17,(Datos!J17+Datos!AD17-(Datos!T17+Datos!AL17))/(Datos!T17+Datos!AL17))
     ),IF(D_I="SI",(Datos!J17-Datos!T17)/Datos!T17,(Datos!J17+Datos!AD17-(Datos!T17+Datos!AL17))/(Datos!T17+Datos!AL17))," - ")</f>
        <v>-0.38709677419354838</v>
      </c>
      <c r="D17" s="472">
        <f>IF(ISNUMBER(
   IF(D_I="SI",(Datos!K17-Datos!U17)/Datos!U17,(Datos!K17+Datos!AE17-(Datos!U17+Datos!AM17))/(Datos!U17+Datos!AM17))
     ),IF(D_I="SI",(Datos!K17-Datos!U17)/Datos!U17,(Datos!K17+Datos!AE17-(Datos!U17+Datos!AM17))/(Datos!U17+Datos!AM17))," - ")</f>
        <v>-0.57499999999999996</v>
      </c>
      <c r="E17" s="472">
        <f>IF(ISNUMBER(
   IF(D_I="SI",(Datos!L17-Datos!V17)/Datos!V17,(Datos!L17+Datos!AF17-(Datos!V17+Datos!AN17))/(Datos!V17+Datos!AN17))
     ),IF(D_I="SI",(Datos!L17-Datos!V17)/Datos!V17,(Datos!L17+Datos!AF17-(Datos!V17+Datos!AN17))/(Datos!V17+Datos!AN17))," - ")</f>
        <v>-0.22222222222222221</v>
      </c>
      <c r="F17" s="472">
        <f>IF(ISNUMBER((Datos!M17-Datos!W17)/Datos!W17),(Datos!M17-Datos!W17)/Datos!W17," - ")</f>
        <v>-0.75</v>
      </c>
      <c r="G17" s="473">
        <f>IF(ISNUMBER((Datos!N17-Datos!X17)/Datos!X17),(Datos!N17-Datos!X17)/Datos!X17," - ")</f>
        <v>-0.125</v>
      </c>
      <c r="H17" s="471">
        <f>IF(ISNUMBER(((NºAsuntos!G17/NºAsuntos!E17)-Datos!BD17)/Datos!BD17),((NºAsuntos!G17/NºAsuntos!E17)-Datos!BD17)/Datos!BD17," - ")</f>
        <v>-0.30657894736842101</v>
      </c>
      <c r="I17" s="472">
        <f>IF(ISNUMBER(((NºAsuntos!I17/NºAsuntos!G17)-Datos!BE17)/Datos!BE17),((NºAsuntos!I17/NºAsuntos!G17)-Datos!BE17)/Datos!BE17," - ")</f>
        <v>0.83006535947712412</v>
      </c>
      <c r="J17" s="477">
        <f>IF(ISNUMBER((('Resol  Asuntos'!D17/NºAsuntos!G17)-Datos!BF17)/Datos!BF17),(('Resol  Asuntos'!D17/NºAsuntos!G17)-Datos!BF17)/Datos!BF17," - ")</f>
        <v>-0.41176470588235298</v>
      </c>
      <c r="K17" s="478">
        <f>IF(ISNUMBER((((NºAsuntos!C17+NºAsuntos!E17)/NºAsuntos!G17)-Datos!BG17)/Datos!BG17),(((NºAsuntos!C17+NºAsuntos!E17)/NºAsuntos!G17)-Datos!BG17)/Datos!BG17," - ")</f>
        <v>0.33450395083406498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-0.1378299120234604</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-0.14714714714714713</v>
      </c>
      <c r="E18" s="1001">
        <f>IF(ISNUMBER(
   IF(Criterios!B14="SI",(Datos!L18-Datos!V18)/Datos!V18,(Datos!L18+Datos!AF18-(Datos!V18+Datos!AN18))/(Datos!V18+Datos!AN18))
     ),IF(Criterios!B14="SI",(Datos!L18-Datos!V18)/Datos!V18,(Datos!L18+Datos!AF18-(Datos!V18+Datos!AN18))/(Datos!V18+Datos!AN18))," - ")</f>
        <v>2.8938906752411574E-2</v>
      </c>
      <c r="F18" s="1002">
        <f>IF(ISNUMBER((Datos!M18-Datos!W18)/Datos!W18),(Datos!M18-Datos!W18)/Datos!W18," - ")</f>
        <v>-0.43636363636363634</v>
      </c>
      <c r="G18" s="1003">
        <f>IF(ISNUMBER((Datos!N18-Datos!X18)/Datos!X18),(Datos!N18-Datos!X18)/Datos!X18," - ")</f>
        <v>7.407407407407407E-2</v>
      </c>
      <c r="H18" s="1003">
        <f>IF(ISNUMBER(((NºAsuntos!G18/NºAsuntos!E18)-Datos!BD18)/Datos!BD18),((NºAsuntos!G18/NºAsuntos!E18)-Datos!BD18)/Datos!BD18," - ")</f>
        <v>-0.14714714714714708</v>
      </c>
      <c r="I18" s="1003">
        <f>IF(ISNUMBER(((NºAsuntos!I18/NºAsuntos!G18)-Datos!BE18)/Datos!BE18),((NºAsuntos!I18/NºAsuntos!G18)-Datos!BE18)/Datos!BE18," - ")</f>
        <v>0.20646709841039806</v>
      </c>
      <c r="J18" s="1003">
        <f>IF(ISNUMBER((('Resol  Asuntos'!D18/NºAsuntos!G18)-Datos!BF18)/Datos!BF18),(('Resol  Asuntos'!D18/NºAsuntos!G18)-Datos!BF18)/Datos!BF18," - ")</f>
        <v>-0.33911651728553138</v>
      </c>
      <c r="K18" s="1003">
        <f>IF(ISNUMBER((((NºAsuntos!C18+NºAsuntos!E18)/NºAsuntos!G18)-Datos!BG18)/Datos!BG18),(((NºAsuntos!C18+NºAsuntos!E18)/NºAsuntos!G18)-Datos!BG18)/Datos!BG18," - ")</f>
        <v>8.6157225484568806E-2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3.4482758620689655E-2</v>
      </c>
      <c r="C19" s="948">
        <f>IF(ISNUMBER(
   IF(J_V="SI",(Datos!J19-Datos!T19)/Datos!T19,(Datos!J19+Datos!Z19-(Datos!T19+Datos!AH19))/(Datos!T19+Datos!AH19))
     ),IF(J_V="SI",(Datos!J19-Datos!T19)/Datos!T19,(Datos!J19+Datos!Z19-(Datos!T19+Datos!AH19))/(Datos!T19+Datos!AH19))," - ")</f>
        <v>0.11343804537521815</v>
      </c>
      <c r="D19" s="948">
        <f>IF(ISNUMBER(
   IF(J_V="SI",(Datos!K19-Datos!U19)/Datos!U19,(Datos!K19+Datos!AA19-(Datos!U19+Datos!AI19))/(Datos!U19+Datos!AI19))
     ),IF(J_V="SI",(Datos!K19-Datos!U19)/Datos!U19,(Datos!K19+Datos!AA19-(Datos!U19+Datos!AI19))/(Datos!U19+Datos!AI19))," - ")</f>
        <v>-8.7091757387247282E-2</v>
      </c>
      <c r="E19" s="948">
        <f>IF(ISNUMBER(
   IF(J_V="SI",(Datos!L19-Datos!V19)/Datos!V19,(Datos!L19+Datos!AB19-(Datos!V19+Datos!AJ19))/(Datos!V19+Datos!AJ19))
     ),IF(J_V="SI",(Datos!L19-Datos!V19)/Datos!V19,(Datos!L19+Datos!AB19-(Datos!V19+Datos!AJ19))/(Datos!V19+Datos!AJ19))," - ")</f>
        <v>0.19251336898395721</v>
      </c>
      <c r="F19" s="949">
        <f>IF(ISNUMBER((Datos!M19-Datos!W19)/Datos!W19),(Datos!M19-Datos!W19)/Datos!W19," - ")</f>
        <v>-0.22077922077922077</v>
      </c>
      <c r="G19" s="950">
        <f>IF(ISNUMBER((Datos!N19-Datos!X19)/Datos!X19),(Datos!N19-Datos!X19)/Datos!X19," - ")</f>
        <v>4.9822064056939501E-2</v>
      </c>
      <c r="H19" s="951">
        <f>IF(ISNUMBER((Tasas!B19-Datos!BD19)/Datos!BD19),(Tasas!B19-Datos!BD19)/Datos!BD19," - ")</f>
        <v>-0.18009965044340545</v>
      </c>
      <c r="I19" s="952">
        <f>IF(ISNUMBER((Tasas!C19-Datos!BE19)/Datos!BE19),(Tasas!C19-Datos!BE19)/Datos!BE19," - ")</f>
        <v>0.30627955069281859</v>
      </c>
      <c r="J19" s="953">
        <f>IF(ISNUMBER((Tasas!D19-Datos!BF19)/Datos!BF19),(Tasas!D19-Datos!BF19)/Datos!BF19," - ")</f>
        <v>-0.25313613133033913</v>
      </c>
      <c r="K19" s="953">
        <f>IF(ISNUMBER((Tasas!E19-Datos!BG19)/Datos!BG19),(Tasas!E19-Datos!BG19)/Datos!BG19," - ")</f>
        <v>0.16895429861192263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MlvHucqtgHZSUF1d3qTWerw3PZ5asMSoYO+qtFxuGANhnxbjRZGgQ+1eR0bJ/W+8b1dgJ9OyzNCP7aWiZ1kMw==" saltValue="lyWT3JzbQkd9WXmEnF4S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ASTORGA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0.88529411764705879</v>
      </c>
      <c r="C12" s="459">
        <f>IF(ISNUMBER(NºAsuntos!I12/NºAsuntos!G12),NºAsuntos!I12/NºAsuntos!G12," - ")</f>
        <v>1.893687707641196</v>
      </c>
      <c r="D12" s="460">
        <f>IF(ISNUMBER('Resol  Asuntos'!D12/NºAsuntos!G12),'Resol  Asuntos'!D12/NºAsuntos!G12," - ")</f>
        <v>0.28903654485049834</v>
      </c>
      <c r="E12" s="461">
        <f>IF(ISNUMBER((NºAsuntos!C12+NºAsuntos!E12)/NºAsuntos!G12),(NºAsuntos!C12+NºAsuntos!E12)/NºAsuntos!G12," - ")</f>
        <v>2.9335548172757475</v>
      </c>
      <c r="G12" s="479"/>
    </row>
    <row r="13" spans="1:7" ht="14.25" thickTop="1" thickBot="1">
      <c r="A13" s="994" t="str">
        <f>Datos!A13</f>
        <v>TOTAL</v>
      </c>
      <c r="B13" s="1004">
        <f>IF(ISNUMBER(NºAsuntos!G13/NºAsuntos!E13),NºAsuntos!G13/NºAsuntos!E13," - ")</f>
        <v>0.88856304985337242</v>
      </c>
      <c r="C13" s="1005">
        <f>IF(ISNUMBER(NºAsuntos!I13/NºAsuntos!G13),NºAsuntos!I13/NºAsuntos!G13," - ")</f>
        <v>1.8877887788778878</v>
      </c>
      <c r="D13" s="1006">
        <f>IF(ISNUMBER('Resol  Asuntos'!D13/NºAsuntos!G13),'Resol  Asuntos'!D13/NºAsuntos!G13," - ")</f>
        <v>0.29372937293729373</v>
      </c>
      <c r="E13" s="1007">
        <f>IF(ISNUMBER((NºAsuntos!C13+NºAsuntos!E13)/NºAsuntos!G13),(NºAsuntos!C13+NºAsuntos!E13)/NºAsuntos!G13," - ")</f>
        <v>2.9273927392739272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0.96043165467625902</v>
      </c>
      <c r="C16" s="459">
        <f>IF(ISNUMBER(NºAsuntos!I16/NºAsuntos!G16),NºAsuntos!I16/NºAsuntos!G16," - ")</f>
        <v>1.1198501872659177</v>
      </c>
      <c r="D16" s="460">
        <f>IF(ISNUMBER('Resol  Asuntos'!D16/NºAsuntos!G16),'Resol  Asuntos'!D16/NºAsuntos!G16," - ")</f>
        <v>0.11235955056179775</v>
      </c>
      <c r="E16" s="461">
        <f>IF(ISNUMBER((NºAsuntos!C16+NºAsuntos!E16)/NºAsuntos!G16),(NºAsuntos!C16+NºAsuntos!E16)/NºAsuntos!G16," - ")</f>
        <v>2.0711610486891385</v>
      </c>
      <c r="G16" s="479"/>
    </row>
    <row r="17" spans="1:7" ht="13.5" thickBot="1">
      <c r="A17" s="413" t="str">
        <f>Datos!A17</f>
        <v>Jdos. Violencia contra la mujer</v>
      </c>
      <c r="B17" s="458">
        <f>IF(ISNUMBER(NºAsuntos!G17/NºAsuntos!E17),NºAsuntos!G17/NºAsuntos!E17," - ")</f>
        <v>0.89473684210526316</v>
      </c>
      <c r="C17" s="459">
        <f>IF(ISNUMBER(NºAsuntos!I17/NºAsuntos!G17),NºAsuntos!I17/NºAsuntos!G17," - ")</f>
        <v>1.2352941176470589</v>
      </c>
      <c r="D17" s="460">
        <f>IF(ISNUMBER('Resol  Asuntos'!D17/NºAsuntos!G17),'Resol  Asuntos'!D17/NºAsuntos!G17," - ")</f>
        <v>5.8823529411764705E-2</v>
      </c>
      <c r="E17" s="461">
        <f>IF(ISNUMBER((NºAsuntos!C17+NºAsuntos!E17)/NºAsuntos!G17),(NºAsuntos!C17+NºAsuntos!E17)/NºAsuntos!G17," - ")</f>
        <v>2.2352941176470589</v>
      </c>
      <c r="G17" s="479"/>
    </row>
    <row r="18" spans="1:7" ht="14.25" thickTop="1" thickBot="1">
      <c r="A18" s="994" t="str">
        <f>Datos!A18</f>
        <v>TOTAL</v>
      </c>
      <c r="B18" s="1004">
        <f>IF(ISNUMBER(NºAsuntos!G18/NºAsuntos!E18),NºAsuntos!G18/NºAsuntos!E18," - ")</f>
        <v>0.95622895622895621</v>
      </c>
      <c r="C18" s="1005">
        <f>IF(ISNUMBER(NºAsuntos!I18/NºAsuntos!G18),NºAsuntos!I18/NºAsuntos!G18," - ")</f>
        <v>1.1267605633802817</v>
      </c>
      <c r="D18" s="1008">
        <f>IF(ISNUMBER('Resol  Asuntos'!D18/NºAsuntos!G18),'Resol  Asuntos'!D18/NºAsuntos!G18," - ")</f>
        <v>0.10915492957746478</v>
      </c>
      <c r="E18" s="1007">
        <f>IF(ISNUMBER((NºAsuntos!C18+NºAsuntos!E18)/NºAsuntos!G18),(NºAsuntos!C18+NºAsuntos!E18)/NºAsuntos!G18," - ")</f>
        <v>2.0809859154929575</v>
      </c>
      <c r="G18" s="479"/>
    </row>
    <row r="19" spans="1:7" ht="15.75" customHeight="1" thickTop="1" thickBot="1">
      <c r="A19" s="939" t="str">
        <f>Datos!A19</f>
        <v>TOTAL JURISDICCIONES</v>
      </c>
      <c r="B19" s="954">
        <f>IF(ISNUMBER(NºAsuntos!G19/NºAsuntos!E19),NºAsuntos!G19/NºAsuntos!E19," - ")</f>
        <v>0.92006269592476486</v>
      </c>
      <c r="C19" s="955">
        <f>IF(ISNUMBER(NºAsuntos!I19/NºAsuntos!G19),NºAsuntos!I19/NºAsuntos!G19," - ")</f>
        <v>1.5195911413969336</v>
      </c>
      <c r="D19" s="956">
        <f>IF(ISNUMBER('Resol  Asuntos'!D19/NºAsuntos!G19),'Resol  Asuntos'!D19/NºAsuntos!G19," - ")</f>
        <v>0.20442930153321975</v>
      </c>
      <c r="E19" s="957">
        <f>IF(ISNUMBER((NºAsuntos!C19+NºAsuntos!E19)/NºAsuntos!G19),(NºAsuntos!C19+NºAsuntos!E19)/NºAsuntos!G19," - ")</f>
        <v>2.5178875638841567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6WzCFC4kuWE/wTTEhsJV/1X6eMeKvJKUhBZS/y6ZjLKsnljuuIQKB6Csrx2ICi+ka7ipyyMSgOv8OxgkNv8pw==" saltValue="iiJRg0HOQXuBjsR8Boim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ASTORGA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87</v>
      </c>
      <c r="AJ12" s="233" t="str">
        <f>IF(ISNUMBER(Datos!BW12),Datos!BW12," - ")</f>
        <v xml:space="preserve"> - </v>
      </c>
      <c r="AK12" s="232" t="str">
        <f>IF(ISNUMBER(Datos!BX12),Datos!BX12," - ")</f>
        <v xml:space="preserve"> - </v>
      </c>
      <c r="AL12" s="247">
        <f>IF(ISNUMBER(NºAsuntos!G12/NºAsuntos!E12),NºAsuntos!G12/NºAsuntos!E12," - ")</f>
        <v>0.88529411764705879</v>
      </c>
      <c r="AM12" s="264">
        <f>IF(ISNUMBER(((NºAsuntos!I12/NºAsuntos!G12)*11)/factor_trimestre),((NºAsuntos!I12/NºAsuntos!G12)*11)/factor_trimestre," - ")</f>
        <v>5.6810631229235877</v>
      </c>
      <c r="AN12" s="248">
        <f>IF(ISNUMBER('Resol  Asuntos'!D12/NºAsuntos!G12),'Resol  Asuntos'!D12/NºAsuntos!G12," - ")</f>
        <v>0.28903654485049834</v>
      </c>
      <c r="AO12" s="249">
        <f>IF(ISNUMBER((NºAsuntos!C12+NºAsuntos!E12)/NºAsuntos!G12),(NºAsuntos!C12+NºAsuntos!E12)/NºAsuntos!G12," - ")</f>
        <v>2.9335548172757475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58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76</v>
      </c>
      <c r="Y13" s="1014">
        <f t="shared" si="4"/>
        <v>78</v>
      </c>
      <c r="Z13" s="1014">
        <f t="shared" si="4"/>
        <v>0</v>
      </c>
      <c r="AA13" s="1014">
        <f t="shared" si="4"/>
        <v>2</v>
      </c>
      <c r="AB13" s="1014">
        <f t="shared" si="4"/>
        <v>1334</v>
      </c>
      <c r="AC13" s="1014">
        <f t="shared" si="4"/>
        <v>4</v>
      </c>
      <c r="AD13" s="1014">
        <f t="shared" si="4"/>
        <v>0</v>
      </c>
      <c r="AE13" s="1018">
        <f t="shared" si="4"/>
        <v>0</v>
      </c>
      <c r="AF13" s="1011">
        <f t="shared" si="4"/>
        <v>0</v>
      </c>
      <c r="AG13" s="1019">
        <f t="shared" si="4"/>
        <v>0</v>
      </c>
      <c r="AH13" s="1016">
        <f t="shared" si="4"/>
        <v>0</v>
      </c>
      <c r="AI13" s="1011">
        <f t="shared" si="4"/>
        <v>89</v>
      </c>
      <c r="AJ13" s="1013">
        <f t="shared" si="4"/>
        <v>0</v>
      </c>
      <c r="AK13" s="1016">
        <f>SUBTOTAL(9,AK9:AK12)</f>
        <v>0</v>
      </c>
      <c r="AL13" s="1020">
        <f>IF(ISNUMBER(NºAsuntos!G13/NºAsuntos!E13),NºAsuntos!G13/NºAsuntos!E13," - ")</f>
        <v>0.88856304985337242</v>
      </c>
      <c r="AM13" s="1020">
        <f>IF(ISNUMBER(((NºAsuntos!I13/NºAsuntos!G13)*11)/factor_trimestre),((NºAsuntos!I13/NºAsuntos!G13)*11)/factor_trimestre," - ")</f>
        <v>5.6633663366336631</v>
      </c>
      <c r="AN13" s="1021">
        <f>IF(ISNUMBER('Resol  Asuntos'!D13/NºAsuntos!G13),'Resol  Asuntos'!D13/NºAsuntos!G13," - ")</f>
        <v>0.29372937293729373</v>
      </c>
      <c r="AO13" s="1022">
        <f>IF(ISNUMBER((NºAsuntos!C13+NºAsuntos!E13)/NºAsuntos!G13),(NºAsuntos!C13+NºAsuntos!E13)/NºAsuntos!G13," - ")</f>
        <v>2.9273927392739272</v>
      </c>
      <c r="AP13" s="1023" t="str">
        <f t="shared" si="2"/>
        <v xml:space="preserve"> - </v>
      </c>
      <c r="AQ13" s="1023">
        <f>IF(ISNUMBER((H13-W13+K13)/(F13)),(H13-W13+K13)/(F13)," - ")</f>
        <v>-0.66666666666666663</v>
      </c>
      <c r="AR13" s="1024">
        <f>IF(ISNUMBER((Datos!P13-Datos!Q13)/(Datos!R13-Datos!P13+Datos!Q13)),(Datos!P13-Datos!Q13)/(Datos!R13-Datos!P13+Datos!Q13)," - ")</f>
        <v>-1.3313609467455622E-2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288</v>
      </c>
      <c r="G16" s="342">
        <f>IF(ISNUMBER(IF(D_I="SI",Datos!I16,Datos!I16+Datos!AC16)),IF(D_I="SI",Datos!I16,Datos!I16+Datos!AC16)," - ")</f>
        <v>275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267</v>
      </c>
      <c r="X16" s="230">
        <f>IF(ISNUMBER(Datos!Q16),Datos!Q16," - ")</f>
        <v>20</v>
      </c>
      <c r="Y16" s="343">
        <f t="shared" ref="Y16:Y17" si="7">SUM(W16:X16)</f>
        <v>287</v>
      </c>
      <c r="Z16" s="344" t="str">
        <f>IF(ISNUMBER(Datos!CC16),Datos!CC16," - ")</f>
        <v xml:space="preserve"> - </v>
      </c>
      <c r="AA16" s="341">
        <f>IF(ISNUMBER(IF(D_I="SI",Datos!L16,Datos!L16+Datos!AF16)),IF(D_I="SI",Datos!L16,Datos!L16+Datos!AF16)," - ")</f>
        <v>299</v>
      </c>
      <c r="AB16" s="343">
        <f>IF(ISNUMBER(Datos!R16),Datos!R16," - ")</f>
        <v>45</v>
      </c>
      <c r="AC16" s="343">
        <f t="shared" si="6"/>
        <v>344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0.96043165467625902</v>
      </c>
      <c r="AM16" s="264">
        <f>IF(ISNUMBER(((NºAsuntos!I16/NºAsuntos!G16)*11)/factor_trimestre),((NºAsuntos!I16/NºAsuntos!G16)*11)/factor_trimestre," - ")</f>
        <v>3.3595505617977532</v>
      </c>
      <c r="AN16" s="248">
        <f>IF(ISNUMBER('Resol  Asuntos'!D16/NºAsuntos!G16),'Resol  Asuntos'!D16/NºAsuntos!G16," - ")</f>
        <v>0.11235955056179775</v>
      </c>
      <c r="AO16" s="249">
        <f>IF(ISNUMBER((NºAsuntos!C16+NºAsuntos!E16)/NºAsuntos!G16),(NºAsuntos!C16+NºAsuntos!E16)/NºAsuntos!G16," - ")</f>
        <v>2.0711610486891385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v>
      </c>
      <c r="X17" s="230">
        <f>IF(ISNUMBER(Datos!Q17),Datos!Q17," - ")</f>
        <v>0</v>
      </c>
      <c r="Y17" s="343">
        <f t="shared" si="7"/>
        <v>17</v>
      </c>
      <c r="Z17" s="344" t="str">
        <f>IF(ISNUMBER(Datos!CC17),Datos!CC17," - ")</f>
        <v xml:space="preserve"> - </v>
      </c>
      <c r="AA17" s="341">
        <f>IF(ISNUMBER(Datos!L17),Datos!L17,"-")</f>
        <v>21</v>
      </c>
      <c r="AB17" s="343">
        <f>IF(ISNUMBER(Datos!R17),Datos!R17," - ")</f>
        <v>1</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0.89473684210526316</v>
      </c>
      <c r="AM17" s="264">
        <f>IF(ISNUMBER(((NºAsuntos!I17/NºAsuntos!G17)*11)/factor_trimestre),((NºAsuntos!I17/NºAsuntos!G17)*11)/factor_trimestre," - ")</f>
        <v>3.7058823529411771</v>
      </c>
      <c r="AN17" s="248">
        <f>IF(ISNUMBER('Resol  Asuntos'!D17/NºAsuntos!G17),'Resol  Asuntos'!D17/NºAsuntos!G17," - ")</f>
        <v>5.8823529411764705E-2</v>
      </c>
      <c r="AO17" s="249">
        <f>IF(ISNUMBER((NºAsuntos!C17+NºAsuntos!E17)/NºAsuntos!G17),(NºAsuntos!C17+NºAsuntos!E17)/NºAsuntos!G17," - ")</f>
        <v>2.2352941176470589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288</v>
      </c>
      <c r="G18" s="1012">
        <f>SUBTOTAL(9,G15:G17)</f>
        <v>294</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284</v>
      </c>
      <c r="X18" s="1013">
        <f t="shared" si="11"/>
        <v>20</v>
      </c>
      <c r="Y18" s="1014">
        <f t="shared" si="11"/>
        <v>304</v>
      </c>
      <c r="Z18" s="1014">
        <f t="shared" si="11"/>
        <v>0</v>
      </c>
      <c r="AA18" s="1014">
        <f t="shared" si="11"/>
        <v>320</v>
      </c>
      <c r="AB18" s="1014">
        <f t="shared" si="11"/>
        <v>46</v>
      </c>
      <c r="AC18" s="1014">
        <f t="shared" si="11"/>
        <v>366</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0.95622895622895621</v>
      </c>
      <c r="AM18" s="1020">
        <f>IF(ISNUMBER(((NºAsuntos!I18/NºAsuntos!G18)*11)/factor_trimestre),((NºAsuntos!I18/NºAsuntos!G18)*11)/factor_trimestre," - ")</f>
        <v>3.3802816901408455</v>
      </c>
      <c r="AN18" s="1021">
        <f>IF(ISNUMBER('Resol  Asuntos'!D18/NºAsuntos!G18),'Resol  Asuntos'!D18/NºAsuntos!G18," - ")</f>
        <v>0.10915492957746478</v>
      </c>
      <c r="AO18" s="1022">
        <f>IF(ISNUMBER((NºAsuntos!C18+NºAsuntos!E18)/NºAsuntos!G18),(NºAsuntos!C18+NºAsuntos!E18)/NºAsuntos!G18," - ")</f>
        <v>2.0809859154929575</v>
      </c>
      <c r="AP18" s="1023" t="str">
        <f t="shared" si="2"/>
        <v xml:space="preserve"> - </v>
      </c>
      <c r="AQ18" s="1023">
        <f>IF(ISNUMBER((H18-W18+K18)/(F18)),(H18-W18+K18)/(F18)," - ")</f>
        <v>-0.98611111111111116</v>
      </c>
      <c r="AR18" s="1024">
        <f>IF(ISNUMBER((Datos!P18-Datos!Q18)/(Datos!R18-Datos!P18+Datos!Q18)),(Datos!P18-Datos!Q18)/(Datos!R18-Datos!P18+Datos!Q18)," - ")</f>
        <v>-0.13207547169811321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291</v>
      </c>
      <c r="G19" s="967">
        <f t="shared" si="13"/>
        <v>297</v>
      </c>
      <c r="H19" s="966">
        <f t="shared" si="13"/>
        <v>0</v>
      </c>
      <c r="I19" s="968">
        <f t="shared" si="13"/>
        <v>0</v>
      </c>
      <c r="J19" s="968">
        <f t="shared" si="13"/>
        <v>0</v>
      </c>
      <c r="K19" s="1027">
        <f t="shared" si="13"/>
        <v>0</v>
      </c>
      <c r="L19" s="968">
        <f t="shared" si="13"/>
        <v>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286</v>
      </c>
      <c r="X19" s="967">
        <f t="shared" si="14"/>
        <v>96</v>
      </c>
      <c r="Y19" s="974">
        <f t="shared" si="14"/>
        <v>382</v>
      </c>
      <c r="Z19" s="974">
        <f t="shared" si="14"/>
        <v>0</v>
      </c>
      <c r="AA19" s="974">
        <f t="shared" si="14"/>
        <v>322</v>
      </c>
      <c r="AB19" s="974">
        <f t="shared" si="14"/>
        <v>1380</v>
      </c>
      <c r="AC19" s="974">
        <f t="shared" si="14"/>
        <v>370</v>
      </c>
      <c r="AD19" s="974">
        <f t="shared" si="14"/>
        <v>0</v>
      </c>
      <c r="AE19" s="976">
        <f t="shared" si="14"/>
        <v>0</v>
      </c>
      <c r="AF19" s="977">
        <f t="shared" si="14"/>
        <v>0</v>
      </c>
      <c r="AG19" s="978">
        <f t="shared" si="14"/>
        <v>0</v>
      </c>
      <c r="AH19" s="976">
        <f t="shared" si="14"/>
        <v>0</v>
      </c>
      <c r="AI19" s="966">
        <f t="shared" si="14"/>
        <v>120</v>
      </c>
      <c r="AJ19" s="966">
        <f t="shared" si="14"/>
        <v>0</v>
      </c>
      <c r="AK19" s="976">
        <f t="shared" si="14"/>
        <v>0</v>
      </c>
      <c r="AL19" s="1030">
        <f>IF(ISNUMBER(NºAsuntos!G19/NºAsuntos!E19),NºAsuntos!G19/NºAsuntos!E19," - ")</f>
        <v>0.92006269592476486</v>
      </c>
      <c r="AM19" s="1031">
        <f>IF(ISNUMBER(((NºAsuntos!I19/NºAsuntos!G19)*11)/factor_trimestre),((NºAsuntos!I19/NºAsuntos!G19)*11)/factor_trimestre," - ")</f>
        <v>4.5587734241908011</v>
      </c>
      <c r="AN19" s="1031">
        <f>IF(ISNUMBER('Resol  Asuntos'!D19/NºAsuntos!G19),'Resol  Asuntos'!D19/NºAsuntos!G19," - ")</f>
        <v>0.20442930153321975</v>
      </c>
      <c r="AO19" s="1032">
        <f>IF(ISNUMBER((NºAsuntos!C19+NºAsuntos!E19)/NºAsuntos!G19),(NºAsuntos!C19+NºAsuntos!E19)/NºAsuntos!G19," - ")</f>
        <v>2.5178875638841567</v>
      </c>
      <c r="AP19" s="1033" t="str">
        <f t="shared" si="2"/>
        <v xml:space="preserve"> - </v>
      </c>
      <c r="AQ19" s="1034">
        <f>IF(OR(ISNUMBER(FIND("01",Criterios!A8,1)),ISNUMBER(FIND("02",Criterios!A8,1)),ISNUMBER(FIND("03",Criterios!A8,1)),ISNUMBER(FIND("04",Criterios!A8,1))),(I19-W19+K19)/(F19-K19),(H19-W19+K19)/(F19-K19))</f>
        <v>-0.98281786941580751</v>
      </c>
      <c r="AR19" s="1035">
        <f>IF(ISNUMBER((Datos!P19-Datos!Q19)/(Datos!R19-Datos!P19+Datos!Q19)),(Datos!P19-Datos!Q19)/(Datos!R19-Datos!P19+Datos!Q19)," - ")</f>
        <v>-1.7793594306049824E-2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164.54482671904336</v>
      </c>
      <c r="G21" s="257">
        <f>IF(ISNUMBER(STDEV(G8:G18)),STDEV(G8:G18),"-")</f>
        <v>151.55263112199668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147.31361104799515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39.385276436759966</v>
      </c>
      <c r="AJ21" s="256">
        <f t="shared" si="18"/>
        <v>0</v>
      </c>
      <c r="AK21" s="258">
        <f t="shared" si="18"/>
        <v>0</v>
      </c>
      <c r="AL21" s="253">
        <f t="shared" si="18"/>
        <v>0.44340734367709611</v>
      </c>
      <c r="AM21" s="254">
        <f t="shared" si="18"/>
        <v>1.2140376965140074</v>
      </c>
      <c r="AN21" s="254">
        <f t="shared" si="18"/>
        <v>0.35193542105723363</v>
      </c>
      <c r="AO21" s="255">
        <f t="shared" si="18"/>
        <v>0.43727014838495387</v>
      </c>
      <c r="AP21" s="295" t="str">
        <f t="shared" si="18"/>
        <v>-</v>
      </c>
      <c r="AQ21" s="296">
        <f t="shared" si="18"/>
        <v>0.22588133287903644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6kv/IUM+1arKBkJwplWMsRIJVnl3+8OFln69qKE/dYK5qRo/PE2KKHlzfsnB2D9GJ/P60VY/lvpYYuw6He8pw==" saltValue="v8HYgadEBGp7rP2XLw4n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ASTORGA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-0.66666666666666663</v>
      </c>
      <c r="F10" s="357">
        <f>IF(ISNUMBER((Datos!K10-Datos!U10)/Datos!U10),(Datos!K10-Datos!U10)/Datos!U10," - ")</f>
        <v>-0.6</v>
      </c>
      <c r="G10" s="358">
        <f>IF(ISNUMBER((Datos!L10-Datos!V10)/Datos!V10),(Datos!L10-Datos!V10)/Datos!V10," - ")</f>
        <v>-0.33333333333333331</v>
      </c>
      <c r="H10" s="234">
        <f>IF(ISNUMBER((Datos!M10-Datos!W10)/Datos!W10),(Datos!M10-Datos!W10)/Datos!W10," - ")</f>
        <v>-0.33333333333333331</v>
      </c>
      <c r="I10" s="359">
        <f>IF(ISNUMBER((Tasas!C10-Datos!BE10)/Datos!BE10),(Tasas!C10-Datos!BE10)/Datos!BE10," - ")</f>
        <v>0.66666666666666674</v>
      </c>
      <c r="J10" s="358">
        <f>IF(ISNUMBER((Tasas!D10-Datos!BF10)/Datos!BF10),(Tasas!D10-Datos!BF10)/Datos!BF10," - ")</f>
        <v>0.66666666666666674</v>
      </c>
      <c r="K10" s="360">
        <f>IF(ISNUMBER((Tasas!E10-Datos!BG10)/Datos!BG10),(Tasas!E10-Datos!BG10)/Datos!BG10," - ")</f>
        <v>0.24999999999999994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-9.375E-2</v>
      </c>
      <c r="I12" s="359">
        <f>IF(ISNUMBER((Tasas!C12-Datos!BE12)/Datos!BE12),(Tasas!C12-Datos!BE12)/Datos!BE12," - ")</f>
        <v>0.33081739822710771</v>
      </c>
      <c r="J12" s="358">
        <f>IF(ISNUMBER((Tasas!D12-Datos!BF12)/Datos!BF12),(Tasas!D12-Datos!BF12)/Datos!BF12," - ")</f>
        <v>-0.25291401542879671</v>
      </c>
      <c r="K12" s="360">
        <f>IF(ISNUMBER((Tasas!E12-Datos!BG12)/Datos!BG12),(Tasas!E12-Datos!BG12)/Datos!BG12," - ")</f>
        <v>0.21073642661583622</v>
      </c>
      <c r="M12" t="e">
        <f>IF(Monitorios="SI",Datos!CE12,0)</f>
        <v>#REF!</v>
      </c>
      <c r="N12" t="e">
        <f>IF(Monitorios="SI",Datos!CF12,0)</f>
        <v>#REF!</v>
      </c>
      <c r="O12" t="e">
        <f>IF(Monitorios="SI",Datos!CG12,0)</f>
        <v>#REF!</v>
      </c>
      <c r="P12" t="e">
        <f>IF(Monitorios="SI",Datos!CH12,0)</f>
        <v>#REF!</v>
      </c>
      <c r="Q12">
        <f>IF(J_V="SI",0,Datos!AG12)</f>
        <v>13</v>
      </c>
      <c r="R12">
        <f>IF(J_V="SI",0,Datos!AH12)</f>
        <v>21</v>
      </c>
      <c r="S12">
        <f>IF(J_V="SI",0,Datos!AI12)</f>
        <v>22</v>
      </c>
      <c r="T12">
        <f>IF(J_V="SI",0,Datos!AJ12)</f>
        <v>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-0.10101010101010101</v>
      </c>
      <c r="I13" s="366">
        <f>IF(ISNUMBER((Tasas!C13-Datos!BE13)/Datos!BE13),(Tasas!C13-Datos!BE13)/Datos!BE13," - ")</f>
        <v>0.33916366465021786</v>
      </c>
      <c r="J13" s="364">
        <f>IF(ISNUMBER((Tasas!D13-Datos!BF13)/Datos!BF13),(Tasas!D13-Datos!BF13)/Datos!BF13," - ")</f>
        <v>-0.24747020156561109</v>
      </c>
      <c r="K13" s="367">
        <f>IF(ISNUMBER((Tasas!E13-Datos!BG13)/Datos!BG13),(Tasas!E13-Datos!BG13)/Datos!BG13," - ")</f>
        <v>0.21484839246976897</v>
      </c>
      <c r="M13" t="e">
        <f>IF(Monitorios="SI",Datos!CE13,0)</f>
        <v>#REF!</v>
      </c>
      <c r="N13" t="e">
        <f>IF(Monitorios="SI",Datos!CF13,0)</f>
        <v>#REF!</v>
      </c>
      <c r="O13" t="e">
        <f>IF(Monitorios="SI",Datos!CG13,0)</f>
        <v>#REF!</v>
      </c>
      <c r="P13" t="e">
        <f>IF(Monitorios="SI",Datos!CH13,0)</f>
        <v>#REF!</v>
      </c>
      <c r="Q13">
        <f>IF(J_V="SI",0,Datos!AG13)</f>
        <v>13</v>
      </c>
      <c r="R13">
        <f>IF(J_V="SI",0,Datos!AH13)</f>
        <v>21</v>
      </c>
      <c r="S13">
        <f>IF(J_V="SI",0,Datos!AI13)</f>
        <v>22</v>
      </c>
      <c r="T13">
        <f>IF(J_V="SI",0,Datos!AJ13)</f>
        <v>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-9.8360655737704916E-2</v>
      </c>
      <c r="E16" s="357">
        <f>IF(ISNUMBER(
   IF(D_I="SI",(Datos!J16-Datos!T16)/Datos!T16,(Datos!J16+Datos!AD16-(Datos!T16+Datos!AL16))/(Datos!T16+Datos!AL16))
     ),IF(D_I="SI",(Datos!J16-Datos!T16)/Datos!T16,(Datos!J16+Datos!AD16-(Datos!T16+Datos!AL16))/(Datos!T16+Datos!AL16))," - ")</f>
        <v>4.5112781954887216E-2</v>
      </c>
      <c r="F16" s="357">
        <f>IF(ISNUMBER(
   IF(D_I="SI",(Datos!K16-Datos!U16)/Datos!U16,(Datos!K16+Datos!AE16-(Datos!U16+Datos!AM16))/(Datos!U16+Datos!AM16))
     ),IF(D_I="SI",(Datos!K16-Datos!U16)/Datos!U16,(Datos!K16+Datos!AE16-(Datos!U16+Datos!AM16))/(Datos!U16+Datos!AM16))," - ")</f>
        <v>-8.8737201365187715E-2</v>
      </c>
      <c r="G16" s="358">
        <f>IF(ISNUMBER(
   IF(D_I="SI",(Datos!L16-Datos!V16)/Datos!V16,(Datos!L16+Datos!AF16-(Datos!V16+Datos!AN16))/(Datos!V16+Datos!AN16))
     ),IF(D_I="SI",(Datos!L16-Datos!V16)/Datos!V16,(Datos!L16+Datos!AF16-(Datos!V16+Datos!AN16))/(Datos!V16+Datos!AN16))," - ")</f>
        <v>5.2816901408450703E-2</v>
      </c>
      <c r="H16" s="234">
        <f>IF(ISNUMBER((Datos!M16-Datos!W16)/Datos!W16),(Datos!M16-Datos!W16)/Datos!W16," - ")</f>
        <v>-0.41176470588235292</v>
      </c>
      <c r="I16" s="359">
        <f>IF(ISNUMBER((Tasas!C16-Datos!BE16)/Datos!BE16),(Tasas!C16-Datos!BE16)/Datos!BE16," - ")</f>
        <v>0.15533839742575312</v>
      </c>
      <c r="J16" s="358">
        <f>IF(ISNUMBER((Tasas!D16-Datos!BF16)/Datos!BF16),(Tasas!D16-Datos!BF16)/Datos!BF16," - ")</f>
        <v>-0.35448336638026001</v>
      </c>
      <c r="K16" s="360">
        <f>IF(ISNUMBER((Tasas!E16-Datos!BG16)/Datos!BG16),(Tasas!E16-Datos!BG16)/Datos!BG16," - ")</f>
        <v>6.278491640265782E-2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-0.47222222222222221</v>
      </c>
      <c r="E17" s="357">
        <f>IF(ISNUMBER(
   IF(D_I="SI",(Datos!J17-Datos!T17)/Datos!T17,(Datos!J17+Datos!AD17-(Datos!T17+Datos!AL17))/(Datos!T17+Datos!AL17))
     ),IF(D_I="SI",(Datos!J17-Datos!T17)/Datos!T17,(Datos!J17+Datos!AD17-(Datos!T17+Datos!AL17))/(Datos!T17+Datos!AL17))," - ")</f>
        <v>-0.38709677419354838</v>
      </c>
      <c r="F17" s="357">
        <f>IF(ISNUMBER(
   IF(D_I="SI",(Datos!K17-Datos!U17)/Datos!U17,(Datos!K17+Datos!AE17-(Datos!U17+Datos!AM17))/(Datos!U17+Datos!AM17))
     ),IF(D_I="SI",(Datos!K17-Datos!U17)/Datos!U17,(Datos!K17+Datos!AE17-(Datos!U17+Datos!AM17))/(Datos!U17+Datos!AM17))," - ")</f>
        <v>-0.57499999999999996</v>
      </c>
      <c r="G17" s="358">
        <f>IF(ISNUMBER(
   IF(D_I="SI",(Datos!L17-Datos!V17)/Datos!V17,(Datos!L17+Datos!AF17-(Datos!V17+Datos!AN17))/(Datos!V17+Datos!AN17))
     ),IF(D_I="SI",(Datos!L17-Datos!V17)/Datos!V17,(Datos!L17+Datos!AF17-(Datos!V17+Datos!AN17))/(Datos!V17+Datos!AN17))," - ")</f>
        <v>-0.22222222222222221</v>
      </c>
      <c r="H17" s="234">
        <f>IF(ISNUMBER((Datos!M17-Datos!W17)/Datos!W17),(Datos!M17-Datos!W17)/Datos!W17," - ")</f>
        <v>-0.75</v>
      </c>
      <c r="I17" s="359">
        <f>IF(ISNUMBER((Tasas!C17-Datos!BE17)/Datos!BE17),(Tasas!C17-Datos!BE17)/Datos!BE17," - ")</f>
        <v>0.83006535947712412</v>
      </c>
      <c r="J17" s="358">
        <f>IF(ISNUMBER((Tasas!D17-Datos!BF17)/Datos!BF17),(Tasas!D17-Datos!BF17)/Datos!BF17," - ")</f>
        <v>-0.41176470588235298</v>
      </c>
      <c r="K17" s="360">
        <f>IF(ISNUMBER((Tasas!E17-Datos!BG17)/Datos!BG17),(Tasas!E17-Datos!BG17)/Datos!BG17," - ")</f>
        <v>0.33450395083406498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-0.1378299120234604</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-0.14714714714714713</v>
      </c>
      <c r="G18" s="364">
        <f>IF(ISNUMBER(
   IF(D_I="SI",(Datos!L18-Datos!V18)/Datos!V18,(Datos!L18+Datos!AF18-(Datos!V18+Datos!AN18))/(Datos!V18+Datos!AN18))
     ),IF(D_I="SI",(Datos!L18-Datos!V18)/Datos!V18,(Datos!L18+Datos!AF18-(Datos!V18+Datos!AN18))/(Datos!V18+Datos!AN18))," - ")</f>
        <v>2.8938906752411574E-2</v>
      </c>
      <c r="H18" s="365">
        <f>IF(ISNUMBER((Datos!M18-Datos!W18)/Datos!W18),(Datos!M18-Datos!W18)/Datos!W18," - ")</f>
        <v>-0.43636363636363634</v>
      </c>
      <c r="I18" s="366">
        <f>IF(ISNUMBER((Tasas!C18-Datos!BE18)/Datos!BE18),(Tasas!C18-Datos!BE18)/Datos!BE18," - ")</f>
        <v>0.20646709841039806</v>
      </c>
      <c r="J18" s="364">
        <f>IF(ISNUMBER((Tasas!D18-Datos!BF18)/Datos!BF18),(Tasas!D18-Datos!BF18)/Datos!BF18," - ")</f>
        <v>-0.33911651728553138</v>
      </c>
      <c r="K18" s="367">
        <f>IF(ISNUMBER((Tasas!E18-Datos!BG18)/Datos!BG18),(Tasas!E18-Datos!BG18)/Datos!BG18," - ")</f>
        <v>8.6157225484568806E-2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3.4482758620689655E-2</v>
      </c>
      <c r="E19" s="372">
        <f>IF(ISNUMBER(
   IF(J_V="SI",(Datos!J19-Datos!T19)/Datos!T19,(Datos!J19+Datos!Z19-(Datos!T19+Datos!AH19))/(Datos!T19+Datos!AH19))
     ),IF(J_V="SI",(Datos!J19-Datos!T19)/Datos!T19,(Datos!J19+Datos!Z19-(Datos!T19+Datos!AH19))/(Datos!T19+Datos!AH19))," - ")</f>
        <v>0.11343804537521815</v>
      </c>
      <c r="F19" s="372">
        <f>IF(ISNUMBER(
   IF(J_V="SI",(Datos!K19-Datos!U19)/Datos!U19,(Datos!K19+Datos!AA19-(Datos!U19+Datos!AI19))/(Datos!U19+Datos!AI19))
     ),IF(J_V="SI",(Datos!K19-Datos!U19)/Datos!U19,(Datos!K19+Datos!AA19-(Datos!U19+Datos!AI19))/(Datos!U19+Datos!AI19))," - ")</f>
        <v>-8.7091757387247282E-2</v>
      </c>
      <c r="G19" s="373">
        <f>IF(ISNUMBER(
   IF(J_V="SI",(Datos!L19-Datos!V19)/Datos!V19,(Datos!L19+Datos!AB19-(Datos!V19+Datos!AJ19))/(Datos!V19+Datos!AJ19))
     ),IF(J_V="SI",(Datos!L19-Datos!V19)/Datos!V19,(Datos!L19+Datos!AB19-(Datos!V19+Datos!AJ19))/(Datos!V19+Datos!AJ19))," - ")</f>
        <v>0.19251336898395721</v>
      </c>
      <c r="H19" s="374">
        <f>IF(ISNUMBER((Datos!M19-Datos!W19)/Datos!W19),(Datos!M19-Datos!W19)/Datos!W19," - ")</f>
        <v>-0.22077922077922077</v>
      </c>
      <c r="I19" s="371">
        <f>IF(ISNUMBER((Tasas!C19-Datos!BE19)/Datos!BE19),(Tasas!C19-Datos!BE19)/Datos!BE19," - ")</f>
        <v>0.30627955069281859</v>
      </c>
      <c r="J19" s="372">
        <f>IF(ISNUMBER((Tasas!D19-Datos!BF19)/Datos!BF19),(Tasas!D19-Datos!BF19)/Datos!BF19," - ")</f>
        <v>-0.25313613133033913</v>
      </c>
      <c r="K19" s="373">
        <f>IF(ISNUMBER((Tasas!E19-Datos!BG19)/Datos!BG19),(Tasas!E19-Datos!BG19)/Datos!BG19," - ")</f>
        <v>0.16895429861192263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0.18665565636250323</v>
      </c>
      <c r="E21" s="282">
        <f t="shared" si="1"/>
        <v>0.33762873209274641</v>
      </c>
      <c r="F21" s="282">
        <f t="shared" si="1"/>
        <v>0.27233735978280155</v>
      </c>
      <c r="G21" s="283">
        <f t="shared" si="1"/>
        <v>0.1897360995357234</v>
      </c>
      <c r="H21" s="289">
        <f t="shared" si="1"/>
        <v>0.24457995409581068</v>
      </c>
      <c r="I21" s="281">
        <f t="shared" si="1"/>
        <v>0.26799853082299802</v>
      </c>
      <c r="J21" s="282">
        <f t="shared" si="1"/>
        <v>0.40813744639485638</v>
      </c>
      <c r="K21" s="283">
        <f t="shared" si="1"/>
        <v>0.10240651396939614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Mr0VCs8iphxQM42Imkdbtzz1bVr5jKGpyyYZMMWcCi3yEOlirIneWHe30pBEk1k96qG3MP72u0FDss/XetAPw==" saltValue="qukKKNqrentZV310HTUI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